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odriguez\Dropbox\1 OBRA PUBLICA\PLIEGOS DEFINITIVOS\FORMATOS\"/>
    </mc:Choice>
  </mc:AlternateContent>
  <bookViews>
    <workbookView xWindow="0" yWindow="0" windowWidth="24000" windowHeight="9210" tabRatio="854"/>
  </bookViews>
  <sheets>
    <sheet name="Mant. Dor - Chi" sheetId="3" r:id="rId1"/>
    <sheet name="1.1" sheetId="13" r:id="rId2"/>
    <sheet name="1.2" sheetId="14" r:id="rId3"/>
    <sheet name="1.3" sheetId="15" r:id="rId4"/>
    <sheet name="1.4" sheetId="26" r:id="rId5"/>
    <sheet name="1.5" sheetId="27" r:id="rId6"/>
    <sheet name="1.6" sheetId="16" r:id="rId7"/>
    <sheet name="1.7" sheetId="17" r:id="rId8"/>
    <sheet name="1.8" sheetId="28" r:id="rId9"/>
    <sheet name="1.9" sheetId="29" r:id="rId10"/>
    <sheet name="1.10" sheetId="30" r:id="rId11"/>
    <sheet name="1.11" sheetId="31" r:id="rId12"/>
    <sheet name="1.12" sheetId="32" r:id="rId13"/>
    <sheet name="1.13" sheetId="33" r:id="rId14"/>
    <sheet name="1.14" sheetId="34" r:id="rId15"/>
    <sheet name="1.15" sheetId="18" r:id="rId16"/>
    <sheet name="1.16" sheetId="19" r:id="rId17"/>
    <sheet name="1.17" sheetId="20" r:id="rId18"/>
    <sheet name="1.18" sheetId="21" r:id="rId19"/>
    <sheet name="1.19" sheetId="25" r:id="rId20"/>
    <sheet name="1.20" sheetId="35" r:id="rId21"/>
    <sheet name="1.21" sheetId="36" r:id="rId22"/>
    <sheet name="1.22" sheetId="37" r:id="rId23"/>
    <sheet name="1.23" sheetId="38" r:id="rId24"/>
    <sheet name="1.24" sheetId="39" r:id="rId25"/>
    <sheet name="1.25" sheetId="40" r:id="rId26"/>
    <sheet name="1.26" sheetId="23" r:id="rId27"/>
    <sheet name="1.27;1.29" sheetId="24" r:id="rId28"/>
    <sheet name="1.28" sheetId="41" r:id="rId29"/>
    <sheet name="1.30" sheetId="46" r:id="rId30"/>
    <sheet name="1.31" sheetId="47" r:id="rId31"/>
    <sheet name="1.32" sheetId="48" r:id="rId32"/>
    <sheet name="1.33" sheetId="49" r:id="rId33"/>
    <sheet name="1.34" sheetId="45" r:id="rId34"/>
  </sheets>
  <externalReferences>
    <externalReference r:id="rId35"/>
    <externalReference r:id="rId36"/>
    <externalReference r:id="rId37"/>
  </externalReferences>
  <definedNames>
    <definedName name="_xlnm.Print_Area" localSheetId="0">'Mant. Dor - Chi'!$B$9:$G$161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35" l="1"/>
  <c r="G24" i="16"/>
  <c r="G83" i="3" l="1"/>
  <c r="I166" i="3" l="1"/>
  <c r="F50" i="3"/>
  <c r="G30" i="49" l="1"/>
  <c r="G35" i="16" l="1"/>
  <c r="I147" i="3" l="1"/>
  <c r="I148" i="3" s="1"/>
  <c r="I155" i="3" s="1"/>
  <c r="I133" i="3"/>
  <c r="I120" i="3"/>
  <c r="I121" i="3" s="1"/>
  <c r="H77" i="3"/>
  <c r="I144" i="3"/>
  <c r="I145" i="3" s="1"/>
  <c r="I141" i="3"/>
  <c r="I140" i="3"/>
  <c r="I139" i="3"/>
  <c r="I135" i="3"/>
  <c r="I134" i="3"/>
  <c r="I132" i="3"/>
  <c r="I131" i="3"/>
  <c r="I130" i="3"/>
  <c r="I129" i="3"/>
  <c r="I128" i="3"/>
  <c r="I127" i="3"/>
  <c r="I126" i="3"/>
  <c r="I125" i="3"/>
  <c r="I124" i="3"/>
  <c r="I123" i="3"/>
  <c r="I117" i="3"/>
  <c r="I116" i="3"/>
  <c r="I115" i="3"/>
  <c r="I114" i="3"/>
  <c r="I107" i="3"/>
  <c r="I106" i="3"/>
  <c r="I105" i="3"/>
  <c r="I103" i="3"/>
  <c r="I102" i="3"/>
  <c r="I100" i="3"/>
  <c r="I98" i="3"/>
  <c r="I97" i="3"/>
  <c r="I96" i="3"/>
  <c r="I95" i="3"/>
  <c r="I94" i="3"/>
  <c r="I92" i="3"/>
  <c r="I91" i="3"/>
  <c r="I89" i="3"/>
  <c r="I88" i="3"/>
  <c r="I87" i="3"/>
  <c r="I86" i="3"/>
  <c r="I85" i="3"/>
  <c r="I84" i="3"/>
  <c r="I82" i="3"/>
  <c r="I81" i="3"/>
  <c r="I80" i="3"/>
  <c r="I66" i="3"/>
  <c r="I67" i="3" s="1"/>
  <c r="I63" i="3"/>
  <c r="I64" i="3" s="1"/>
  <c r="I60" i="3"/>
  <c r="I61" i="3" s="1"/>
  <c r="I57" i="3"/>
  <c r="I58" i="3" s="1"/>
  <c r="I54" i="3"/>
  <c r="I53" i="3"/>
  <c r="I52" i="3"/>
  <c r="I51" i="3"/>
  <c r="I50" i="3"/>
  <c r="I48" i="3"/>
  <c r="I47" i="3"/>
  <c r="I44" i="3"/>
  <c r="I43" i="3"/>
  <c r="I41" i="3"/>
  <c r="I40" i="3"/>
  <c r="I38" i="3"/>
  <c r="I36" i="3"/>
  <c r="I35" i="3"/>
  <c r="I34" i="3"/>
  <c r="I33" i="3"/>
  <c r="I32" i="3"/>
  <c r="I31" i="3"/>
  <c r="I30" i="3"/>
  <c r="I29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G147" i="3"/>
  <c r="G144" i="3"/>
  <c r="G141" i="3"/>
  <c r="G140" i="3"/>
  <c r="G139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0" i="3"/>
  <c r="G117" i="3"/>
  <c r="G116" i="3"/>
  <c r="G115" i="3"/>
  <c r="G114" i="3"/>
  <c r="G107" i="3"/>
  <c r="G106" i="3"/>
  <c r="G105" i="3"/>
  <c r="G103" i="3"/>
  <c r="G100" i="3"/>
  <c r="G98" i="3"/>
  <c r="G97" i="3"/>
  <c r="G96" i="3"/>
  <c r="G95" i="3"/>
  <c r="G94" i="3"/>
  <c r="G92" i="3"/>
  <c r="G91" i="3"/>
  <c r="G89" i="3"/>
  <c r="G88" i="3"/>
  <c r="G87" i="3"/>
  <c r="G86" i="3"/>
  <c r="G85" i="3"/>
  <c r="G84" i="3"/>
  <c r="G82" i="3"/>
  <c r="G81" i="3"/>
  <c r="G80" i="3"/>
  <c r="G66" i="3"/>
  <c r="G63" i="3"/>
  <c r="G60" i="3"/>
  <c r="G57" i="3"/>
  <c r="G54" i="3"/>
  <c r="G50" i="3"/>
  <c r="I109" i="3" l="1"/>
  <c r="I110" i="3"/>
  <c r="I156" i="3" s="1"/>
  <c r="I142" i="3"/>
  <c r="I136" i="3"/>
  <c r="I153" i="3" s="1"/>
  <c r="I154" i="3" s="1"/>
  <c r="I118" i="3"/>
  <c r="I108" i="3"/>
  <c r="I111" i="3" s="1"/>
  <c r="I45" i="3"/>
  <c r="I149" i="3" l="1"/>
  <c r="I150" i="3" s="1"/>
  <c r="I152" i="3" s="1"/>
  <c r="I159" i="3" l="1"/>
  <c r="I160" i="3" s="1"/>
  <c r="G37" i="46"/>
  <c r="G28" i="46"/>
  <c r="C43" i="49"/>
  <c r="E43" i="49" s="1"/>
  <c r="G43" i="49" s="1"/>
  <c r="A36" i="49"/>
  <c r="G29" i="49"/>
  <c r="E42" i="49"/>
  <c r="G42" i="49" s="1"/>
  <c r="G37" i="49"/>
  <c r="G36" i="49"/>
  <c r="G31" i="49"/>
  <c r="G24" i="49"/>
  <c r="G23" i="49"/>
  <c r="G22" i="49"/>
  <c r="G21" i="49"/>
  <c r="C38" i="48"/>
  <c r="E38" i="48" s="1"/>
  <c r="G38" i="48" s="1"/>
  <c r="A32" i="48"/>
  <c r="E37" i="48"/>
  <c r="G37" i="48" s="1"/>
  <c r="G32" i="48"/>
  <c r="G27" i="48"/>
  <c r="G22" i="48"/>
  <c r="G21" i="48"/>
  <c r="G21" i="47"/>
  <c r="G22" i="47" s="1"/>
  <c r="E37" i="47"/>
  <c r="G37" i="47" s="1"/>
  <c r="G39" i="47" s="1"/>
  <c r="G32" i="47"/>
  <c r="G26" i="47"/>
  <c r="G27" i="47" s="1"/>
  <c r="C44" i="46"/>
  <c r="E44" i="46" s="1"/>
  <c r="G44" i="46" s="1"/>
  <c r="E43" i="46"/>
  <c r="G43" i="46" s="1"/>
  <c r="G38" i="46"/>
  <c r="G36" i="46"/>
  <c r="G35" i="46"/>
  <c r="G29" i="46"/>
  <c r="G27" i="46"/>
  <c r="G26" i="46"/>
  <c r="G20" i="46"/>
  <c r="D28" i="24"/>
  <c r="G41" i="41"/>
  <c r="G34" i="41"/>
  <c r="D32" i="41"/>
  <c r="G32" i="41"/>
  <c r="C38" i="45"/>
  <c r="E38" i="45" s="1"/>
  <c r="G38" i="45" s="1"/>
  <c r="E37" i="45"/>
  <c r="G37" i="45" s="1"/>
  <c r="G32" i="45"/>
  <c r="G33" i="45" s="1"/>
  <c r="G27" i="45"/>
  <c r="G26" i="45"/>
  <c r="G20" i="45"/>
  <c r="C49" i="41"/>
  <c r="E49" i="41" s="1"/>
  <c r="G49" i="41" s="1"/>
  <c r="E48" i="41"/>
  <c r="G48" i="41" s="1"/>
  <c r="G43" i="41"/>
  <c r="G42" i="41"/>
  <c r="G40" i="41"/>
  <c r="G33" i="41"/>
  <c r="G31" i="41"/>
  <c r="G26" i="41"/>
  <c r="G25" i="41"/>
  <c r="G24" i="41"/>
  <c r="G23" i="41"/>
  <c r="G22" i="41"/>
  <c r="G21" i="41"/>
  <c r="G28" i="45" l="1"/>
  <c r="G30" i="46"/>
  <c r="G31" i="46" s="1"/>
  <c r="G39" i="46"/>
  <c r="G45" i="49"/>
  <c r="G25" i="49"/>
  <c r="G32" i="49"/>
  <c r="G38" i="49"/>
  <c r="G28" i="48"/>
  <c r="G23" i="48"/>
  <c r="G43" i="48" s="1"/>
  <c r="G44" i="48" s="1"/>
  <c r="F51" i="3" s="1"/>
  <c r="G51" i="3" s="1"/>
  <c r="G33" i="48"/>
  <c r="G40" i="48"/>
  <c r="G33" i="47"/>
  <c r="G28" i="47"/>
  <c r="G42" i="47" s="1"/>
  <c r="G45" i="46"/>
  <c r="G21" i="46" s="1"/>
  <c r="G22" i="46"/>
  <c r="G39" i="45"/>
  <c r="G21" i="45" s="1"/>
  <c r="G22" i="45"/>
  <c r="G42" i="45" s="1"/>
  <c r="G43" i="45" s="1"/>
  <c r="F53" i="3" s="1"/>
  <c r="G53" i="3" s="1"/>
  <c r="G35" i="41"/>
  <c r="G36" i="41" s="1"/>
  <c r="G44" i="41"/>
  <c r="G51" i="41"/>
  <c r="G27" i="41"/>
  <c r="G54" i="41" l="1"/>
  <c r="G55" i="41" s="1"/>
  <c r="F47" i="3" s="1"/>
  <c r="G47" i="3" s="1"/>
  <c r="G48" i="49"/>
  <c r="G49" i="49" s="1"/>
  <c r="F52" i="3" s="1"/>
  <c r="G52" i="3" s="1"/>
  <c r="G43" i="47"/>
  <c r="G48" i="46"/>
  <c r="G49" i="46" s="1"/>
  <c r="F49" i="3" s="1"/>
  <c r="G21" i="31" l="1"/>
  <c r="F41" i="31"/>
  <c r="F39" i="30"/>
  <c r="F40" i="29"/>
  <c r="G21" i="29" l="1"/>
  <c r="E49" i="3" l="1"/>
  <c r="I49" i="3" l="1"/>
  <c r="I55" i="3" s="1"/>
  <c r="I68" i="3" s="1"/>
  <c r="I69" i="3" s="1"/>
  <c r="I70" i="3" s="1"/>
  <c r="G49" i="3"/>
  <c r="C40" i="27"/>
  <c r="G21" i="28"/>
  <c r="C40" i="29"/>
  <c r="C42" i="34"/>
  <c r="C42" i="35"/>
  <c r="C42" i="36"/>
  <c r="C47" i="37"/>
  <c r="C47" i="38"/>
  <c r="C46" i="39"/>
  <c r="I76" i="3" l="1"/>
  <c r="I71" i="3"/>
  <c r="I74" i="3"/>
  <c r="I75" i="3"/>
  <c r="C46" i="40"/>
  <c r="I77" i="3" l="1"/>
  <c r="I72" i="3" s="1"/>
  <c r="I161" i="3" s="1"/>
  <c r="E46" i="40"/>
  <c r="F46" i="40"/>
  <c r="E45" i="40"/>
  <c r="G45" i="40" s="1"/>
  <c r="G40" i="40"/>
  <c r="E39" i="40"/>
  <c r="G39" i="40" s="1"/>
  <c r="D32" i="40"/>
  <c r="G32" i="40" s="1"/>
  <c r="G31" i="40"/>
  <c r="G30" i="40"/>
  <c r="E29" i="40"/>
  <c r="G29" i="40" s="1"/>
  <c r="G28" i="40"/>
  <c r="C21" i="40"/>
  <c r="G21" i="40" s="1"/>
  <c r="E46" i="39"/>
  <c r="E45" i="39"/>
  <c r="G40" i="39"/>
  <c r="E39" i="39"/>
  <c r="G39" i="39" s="1"/>
  <c r="G32" i="39"/>
  <c r="G31" i="39"/>
  <c r="G30" i="39"/>
  <c r="G29" i="39"/>
  <c r="G21" i="39"/>
  <c r="G22" i="39"/>
  <c r="F47" i="38"/>
  <c r="E47" i="38"/>
  <c r="E46" i="38"/>
  <c r="G46" i="38" s="1"/>
  <c r="G40" i="38"/>
  <c r="G39" i="38"/>
  <c r="E34" i="38"/>
  <c r="C41" i="38" s="1"/>
  <c r="G41" i="38" s="1"/>
  <c r="G33" i="38"/>
  <c r="E32" i="38"/>
  <c r="G32" i="38" s="1"/>
  <c r="E31" i="38"/>
  <c r="G31" i="38" s="1"/>
  <c r="E30" i="38"/>
  <c r="E29" i="38"/>
  <c r="E23" i="38"/>
  <c r="G23" i="38" s="1"/>
  <c r="E22" i="38"/>
  <c r="G22" i="38" s="1"/>
  <c r="E21" i="38"/>
  <c r="E20" i="38"/>
  <c r="G20" i="38" s="1"/>
  <c r="E47" i="37"/>
  <c r="G47" i="37" s="1"/>
  <c r="E46" i="37"/>
  <c r="G46" i="37" s="1"/>
  <c r="C41" i="37"/>
  <c r="E41" i="37" s="1"/>
  <c r="G41" i="37" s="1"/>
  <c r="A41" i="37"/>
  <c r="D40" i="37"/>
  <c r="C40" i="37"/>
  <c r="E40" i="37" s="1"/>
  <c r="G40" i="37" s="1"/>
  <c r="C39" i="37"/>
  <c r="E39" i="37" s="1"/>
  <c r="G39" i="37" s="1"/>
  <c r="G32" i="37"/>
  <c r="G31" i="37"/>
  <c r="G30" i="37"/>
  <c r="G29" i="37"/>
  <c r="G28" i="37"/>
  <c r="G27" i="37"/>
  <c r="C21" i="37"/>
  <c r="G21" i="37" s="1"/>
  <c r="C20" i="37"/>
  <c r="G20" i="37" s="1"/>
  <c r="C19" i="37"/>
  <c r="G19" i="37" s="1"/>
  <c r="E42" i="36"/>
  <c r="G42" i="36" s="1"/>
  <c r="E41" i="36"/>
  <c r="G41" i="36" s="1"/>
  <c r="G36" i="36"/>
  <c r="G35" i="36"/>
  <c r="E29" i="36"/>
  <c r="G29" i="36" s="1"/>
  <c r="G28" i="36"/>
  <c r="G22" i="36"/>
  <c r="G21" i="36"/>
  <c r="G20" i="36"/>
  <c r="G19" i="36"/>
  <c r="G18" i="36"/>
  <c r="E42" i="35"/>
  <c r="G42" i="35" s="1"/>
  <c r="E41" i="35"/>
  <c r="G41" i="35" s="1"/>
  <c r="G36" i="35"/>
  <c r="G35" i="35"/>
  <c r="G37" i="35" s="1"/>
  <c r="G29" i="35"/>
  <c r="E29" i="35"/>
  <c r="G28" i="35"/>
  <c r="C22" i="35"/>
  <c r="G22" i="35" s="1"/>
  <c r="C21" i="35"/>
  <c r="G21" i="35" s="1"/>
  <c r="C20" i="35"/>
  <c r="G20" i="35" s="1"/>
  <c r="C19" i="35"/>
  <c r="G19" i="35" s="1"/>
  <c r="C18" i="35"/>
  <c r="G18" i="35" s="1"/>
  <c r="F42" i="34"/>
  <c r="E42" i="34"/>
  <c r="E41" i="34"/>
  <c r="G41" i="34" s="1"/>
  <c r="G36" i="34"/>
  <c r="C35" i="34"/>
  <c r="E35" i="34" s="1"/>
  <c r="G35" i="34" s="1"/>
  <c r="E34" i="34"/>
  <c r="G34" i="34" s="1"/>
  <c r="G25" i="34"/>
  <c r="G19" i="34"/>
  <c r="F40" i="33"/>
  <c r="E40" i="33"/>
  <c r="E39" i="33"/>
  <c r="G39" i="33" s="1"/>
  <c r="G34" i="33"/>
  <c r="G33" i="33"/>
  <c r="E32" i="33"/>
  <c r="G32" i="33" s="1"/>
  <c r="G28" i="33"/>
  <c r="G19" i="33"/>
  <c r="E42" i="32"/>
  <c r="E41" i="32"/>
  <c r="C35" i="32"/>
  <c r="G35" i="32" s="1"/>
  <c r="G37" i="32" s="1"/>
  <c r="G31" i="32"/>
  <c r="E22" i="32"/>
  <c r="E23" i="32" s="1"/>
  <c r="G21" i="32"/>
  <c r="E41" i="31"/>
  <c r="E40" i="31"/>
  <c r="G40" i="31" s="1"/>
  <c r="C34" i="31"/>
  <c r="G34" i="31" s="1"/>
  <c r="G36" i="31" s="1"/>
  <c r="A34" i="31"/>
  <c r="G28" i="31"/>
  <c r="G27" i="31"/>
  <c r="G19" i="31"/>
  <c r="E39" i="30"/>
  <c r="E38" i="30"/>
  <c r="G38" i="30" s="1"/>
  <c r="C32" i="30"/>
  <c r="G32" i="30" s="1"/>
  <c r="G34" i="30" s="1"/>
  <c r="G26" i="30"/>
  <c r="G28" i="30" s="1"/>
  <c r="G21" i="30"/>
  <c r="G19" i="30"/>
  <c r="E40" i="29"/>
  <c r="G40" i="29" s="1"/>
  <c r="E39" i="29"/>
  <c r="G39" i="29" s="1"/>
  <c r="C33" i="29"/>
  <c r="G33" i="29" s="1"/>
  <c r="G35" i="29" s="1"/>
  <c r="G28" i="29"/>
  <c r="G27" i="29"/>
  <c r="C20" i="29"/>
  <c r="G20" i="29" s="1"/>
  <c r="G19" i="29"/>
  <c r="F41" i="28"/>
  <c r="E41" i="28"/>
  <c r="G41" i="28" s="1"/>
  <c r="E40" i="28"/>
  <c r="G40" i="28" s="1"/>
  <c r="G36" i="28"/>
  <c r="G34" i="28"/>
  <c r="A34" i="28"/>
  <c r="G28" i="28"/>
  <c r="G27" i="28"/>
  <c r="E4" i="28"/>
  <c r="E40" i="27"/>
  <c r="G40" i="27" s="1"/>
  <c r="E39" i="27"/>
  <c r="G39" i="27" s="1"/>
  <c r="G34" i="27"/>
  <c r="E33" i="27"/>
  <c r="G33" i="27" s="1"/>
  <c r="G27" i="27"/>
  <c r="G29" i="27" s="1"/>
  <c r="E20" i="27"/>
  <c r="E21" i="27" s="1"/>
  <c r="G21" i="27" s="1"/>
  <c r="G20" i="27"/>
  <c r="G19" i="27"/>
  <c r="C43" i="26"/>
  <c r="E43" i="26" s="1"/>
  <c r="G43" i="26" s="1"/>
  <c r="E42" i="26"/>
  <c r="G42" i="26" s="1"/>
  <c r="C37" i="26"/>
  <c r="E37" i="26" s="1"/>
  <c r="G37" i="26" s="1"/>
  <c r="E36" i="26"/>
  <c r="G36" i="26" s="1"/>
  <c r="G35" i="26"/>
  <c r="E35" i="26"/>
  <c r="E26" i="26"/>
  <c r="G26" i="26" s="1"/>
  <c r="G20" i="26"/>
  <c r="G19" i="26"/>
  <c r="G35" i="27" l="1"/>
  <c r="G37" i="36"/>
  <c r="G22" i="30"/>
  <c r="G34" i="38"/>
  <c r="G38" i="26"/>
  <c r="G22" i="32"/>
  <c r="G35" i="33"/>
  <c r="G40" i="33"/>
  <c r="G41" i="33" s="1"/>
  <c r="G20" i="33" s="1"/>
  <c r="G21" i="33" s="1"/>
  <c r="G44" i="33" s="1"/>
  <c r="G45" i="33" s="1"/>
  <c r="F26" i="3" s="1"/>
  <c r="G26" i="3" s="1"/>
  <c r="G37" i="34"/>
  <c r="G42" i="34"/>
  <c r="G41" i="31"/>
  <c r="G42" i="31" s="1"/>
  <c r="G22" i="31" s="1"/>
  <c r="G23" i="31" s="1"/>
  <c r="G24" i="35"/>
  <c r="E27" i="26"/>
  <c r="G41" i="27"/>
  <c r="G22" i="27" s="1"/>
  <c r="G23" i="27" s="1"/>
  <c r="G44" i="27" s="1"/>
  <c r="G45" i="27" s="1"/>
  <c r="F18" i="3" s="1"/>
  <c r="G18" i="3" s="1"/>
  <c r="G39" i="30"/>
  <c r="G40" i="30" s="1"/>
  <c r="G43" i="30" s="1"/>
  <c r="G44" i="30" s="1"/>
  <c r="F23" i="3" s="1"/>
  <c r="G23" i="3" s="1"/>
  <c r="G41" i="29"/>
  <c r="G22" i="29" s="1"/>
  <c r="G23" i="29" s="1"/>
  <c r="G43" i="34"/>
  <c r="G20" i="34" s="1"/>
  <c r="G21" i="34" s="1"/>
  <c r="G46" i="40"/>
  <c r="G47" i="40" s="1"/>
  <c r="G23" i="40" s="1"/>
  <c r="G29" i="38"/>
  <c r="G30" i="38"/>
  <c r="G47" i="38"/>
  <c r="G48" i="38" s="1"/>
  <c r="G24" i="38" s="1"/>
  <c r="E19" i="39"/>
  <c r="E23" i="39" s="1"/>
  <c r="G23" i="39" s="1"/>
  <c r="G45" i="39"/>
  <c r="G30" i="31"/>
  <c r="G29" i="29"/>
  <c r="G31" i="35"/>
  <c r="G21" i="38"/>
  <c r="C22" i="40"/>
  <c r="G22" i="40" s="1"/>
  <c r="G33" i="40"/>
  <c r="G35" i="40" s="1"/>
  <c r="E19" i="40"/>
  <c r="G41" i="40"/>
  <c r="G46" i="39"/>
  <c r="G41" i="39"/>
  <c r="G33" i="39"/>
  <c r="G35" i="39" s="1"/>
  <c r="G19" i="39"/>
  <c r="G42" i="38"/>
  <c r="G42" i="37"/>
  <c r="G48" i="37"/>
  <c r="G22" i="37" s="1"/>
  <c r="G23" i="37" s="1"/>
  <c r="G33" i="37"/>
  <c r="G35" i="37" s="1"/>
  <c r="G24" i="36"/>
  <c r="G31" i="36"/>
  <c r="G43" i="36"/>
  <c r="G26" i="34"/>
  <c r="G30" i="34" s="1"/>
  <c r="G23" i="32"/>
  <c r="F41" i="32"/>
  <c r="F42" i="32" s="1"/>
  <c r="G42" i="32" s="1"/>
  <c r="G29" i="28"/>
  <c r="G30" i="28" s="1"/>
  <c r="G42" i="28"/>
  <c r="G22" i="28" s="1"/>
  <c r="G44" i="26"/>
  <c r="G21" i="26" s="1"/>
  <c r="G22" i="26" s="1"/>
  <c r="C43" i="24"/>
  <c r="C39" i="25"/>
  <c r="C41" i="21"/>
  <c r="C49" i="20"/>
  <c r="G33" i="20"/>
  <c r="G43" i="20"/>
  <c r="E20" i="39" l="1"/>
  <c r="G20" i="39" s="1"/>
  <c r="G41" i="32"/>
  <c r="G43" i="32" s="1"/>
  <c r="G24" i="32" s="1"/>
  <c r="G25" i="32" s="1"/>
  <c r="G46" i="32" s="1"/>
  <c r="G47" i="32" s="1"/>
  <c r="F25" i="3" s="1"/>
  <c r="G25" i="3" s="1"/>
  <c r="G44" i="29"/>
  <c r="G45" i="29" s="1"/>
  <c r="F22" i="3" s="1"/>
  <c r="G22" i="3" s="1"/>
  <c r="G45" i="35"/>
  <c r="G46" i="35" s="1"/>
  <c r="F34" i="3" s="1"/>
  <c r="G34" i="3" s="1"/>
  <c r="E28" i="26"/>
  <c r="G28" i="26" s="1"/>
  <c r="G27" i="26"/>
  <c r="G29" i="26" s="1"/>
  <c r="G31" i="26" s="1"/>
  <c r="G47" i="26" s="1"/>
  <c r="G48" i="26" s="1"/>
  <c r="F17" i="3" s="1"/>
  <c r="G17" i="3" s="1"/>
  <c r="G23" i="28"/>
  <c r="G45" i="28" s="1"/>
  <c r="G46" i="28" s="1"/>
  <c r="F21" i="3" s="1"/>
  <c r="G21" i="3" s="1"/>
  <c r="G45" i="31"/>
  <c r="G46" i="31" s="1"/>
  <c r="F24" i="3" s="1"/>
  <c r="G24" i="3" s="1"/>
  <c r="G46" i="34"/>
  <c r="G47" i="34" s="1"/>
  <c r="F27" i="3" s="1"/>
  <c r="G27" i="3" s="1"/>
  <c r="G45" i="36"/>
  <c r="G46" i="36" s="1"/>
  <c r="F35" i="3" s="1"/>
  <c r="G35" i="3" s="1"/>
  <c r="G47" i="39"/>
  <c r="G24" i="39" s="1"/>
  <c r="G25" i="39" s="1"/>
  <c r="G50" i="39" s="1"/>
  <c r="G51" i="39" s="1"/>
  <c r="F40" i="3" s="1"/>
  <c r="G40" i="3" s="1"/>
  <c r="G35" i="38"/>
  <c r="G25" i="38"/>
  <c r="E20" i="40"/>
  <c r="G20" i="40" s="1"/>
  <c r="G19" i="40"/>
  <c r="G51" i="37"/>
  <c r="G52" i="37" s="1"/>
  <c r="F36" i="3" s="1"/>
  <c r="G36" i="3" s="1"/>
  <c r="C42" i="19"/>
  <c r="C38" i="18"/>
  <c r="G51" i="38" l="1"/>
  <c r="G52" i="38" s="1"/>
  <c r="F38" i="3" s="1"/>
  <c r="G38" i="3" s="1"/>
  <c r="G24" i="40"/>
  <c r="G50" i="40" s="1"/>
  <c r="G51" i="40" s="1"/>
  <c r="F41" i="3" s="1"/>
  <c r="G41" i="3" s="1"/>
  <c r="E39" i="25"/>
  <c r="G35" i="25"/>
  <c r="G28" i="25"/>
  <c r="G20" i="25"/>
  <c r="E43" i="24"/>
  <c r="G43" i="24" s="1"/>
  <c r="E42" i="24"/>
  <c r="G42" i="24" s="1"/>
  <c r="E41" i="24"/>
  <c r="G41" i="24" s="1"/>
  <c r="G37" i="24"/>
  <c r="G34" i="24"/>
  <c r="G28" i="24"/>
  <c r="G29" i="24" s="1"/>
  <c r="G22" i="24"/>
  <c r="G21" i="24"/>
  <c r="E43" i="23"/>
  <c r="G43" i="23" s="1"/>
  <c r="E42" i="23"/>
  <c r="G42" i="23" s="1"/>
  <c r="G38" i="23"/>
  <c r="G29" i="23"/>
  <c r="G28" i="23"/>
  <c r="E41" i="21"/>
  <c r="G41" i="21" s="1"/>
  <c r="E40" i="21"/>
  <c r="G40" i="21" s="1"/>
  <c r="G27" i="21"/>
  <c r="G26" i="21"/>
  <c r="G20" i="21"/>
  <c r="G19" i="21"/>
  <c r="E49" i="20"/>
  <c r="G49" i="20" s="1"/>
  <c r="E48" i="20"/>
  <c r="G48" i="20" s="1"/>
  <c r="G42" i="20"/>
  <c r="G41" i="20"/>
  <c r="G40" i="20"/>
  <c r="G39" i="20"/>
  <c r="G32" i="20"/>
  <c r="G31" i="20"/>
  <c r="G30" i="20"/>
  <c r="G29" i="20"/>
  <c r="G28" i="20"/>
  <c r="G22" i="20"/>
  <c r="G21" i="20"/>
  <c r="G20" i="20"/>
  <c r="E42" i="19"/>
  <c r="G42" i="19" s="1"/>
  <c r="E41" i="19"/>
  <c r="G41" i="19" s="1"/>
  <c r="G37" i="19"/>
  <c r="G29" i="19"/>
  <c r="G28" i="19"/>
  <c r="G27" i="19"/>
  <c r="G20" i="19"/>
  <c r="G32" i="23" l="1"/>
  <c r="G30" i="19"/>
  <c r="G39" i="25"/>
  <c r="G41" i="25" s="1"/>
  <c r="G21" i="25" s="1"/>
  <c r="G22" i="25" s="1"/>
  <c r="G44" i="25" s="1"/>
  <c r="G45" i="25" s="1"/>
  <c r="F33" i="3" s="1"/>
  <c r="G33" i="3" s="1"/>
  <c r="G44" i="20"/>
  <c r="G30" i="24"/>
  <c r="G45" i="23"/>
  <c r="G23" i="23" s="1"/>
  <c r="G24" i="23" s="1"/>
  <c r="G48" i="23" s="1"/>
  <c r="G49" i="23" s="1"/>
  <c r="F43" i="3" s="1"/>
  <c r="G43" i="3" s="1"/>
  <c r="G42" i="21"/>
  <c r="G21" i="21" s="1"/>
  <c r="G22" i="21" s="1"/>
  <c r="G29" i="21"/>
  <c r="G51" i="20"/>
  <c r="G23" i="20" s="1"/>
  <c r="G24" i="20" s="1"/>
  <c r="G35" i="20"/>
  <c r="G43" i="19"/>
  <c r="G22" i="19" s="1"/>
  <c r="G23" i="19" s="1"/>
  <c r="G46" i="19" s="1"/>
  <c r="G47" i="19" s="1"/>
  <c r="F30" i="3" s="1"/>
  <c r="G30" i="3" s="1"/>
  <c r="G45" i="24"/>
  <c r="G23" i="24" s="1"/>
  <c r="G24" i="24" s="1"/>
  <c r="G48" i="24" s="1"/>
  <c r="E38" i="18"/>
  <c r="G38" i="18" s="1"/>
  <c r="G40" i="18" s="1"/>
  <c r="G21" i="18" s="1"/>
  <c r="G32" i="18"/>
  <c r="G34" i="18" s="1"/>
  <c r="G20" i="18"/>
  <c r="G19" i="18"/>
  <c r="E40" i="17"/>
  <c r="G40" i="17" s="1"/>
  <c r="G41" i="17" s="1"/>
  <c r="G19" i="17" s="1"/>
  <c r="G21" i="17" s="1"/>
  <c r="G35" i="17"/>
  <c r="G34" i="17"/>
  <c r="G33" i="17"/>
  <c r="G28" i="17"/>
  <c r="G27" i="17"/>
  <c r="G26" i="17"/>
  <c r="G25" i="17"/>
  <c r="E41" i="16"/>
  <c r="G41" i="16" s="1"/>
  <c r="E40" i="16"/>
  <c r="G40" i="16" s="1"/>
  <c r="G36" i="16"/>
  <c r="G30" i="16"/>
  <c r="G29" i="16"/>
  <c r="G28" i="16"/>
  <c r="G22" i="16"/>
  <c r="G21" i="16"/>
  <c r="G20" i="16"/>
  <c r="G19" i="16"/>
  <c r="E36" i="15"/>
  <c r="G36" i="15" s="1"/>
  <c r="G38" i="15" s="1"/>
  <c r="G20" i="15" s="1"/>
  <c r="G31" i="15"/>
  <c r="G32" i="15" s="1"/>
  <c r="G27" i="15"/>
  <c r="G19" i="15"/>
  <c r="E42" i="14"/>
  <c r="G42" i="14" s="1"/>
  <c r="E41" i="14"/>
  <c r="G41" i="14" s="1"/>
  <c r="G28" i="14"/>
  <c r="G27" i="14"/>
  <c r="G21" i="14"/>
  <c r="G20" i="14"/>
  <c r="G19" i="14"/>
  <c r="E39" i="13"/>
  <c r="G39" i="13" s="1"/>
  <c r="E38" i="13"/>
  <c r="G38" i="13" s="1"/>
  <c r="G34" i="13"/>
  <c r="G27" i="13"/>
  <c r="G26" i="13"/>
  <c r="G19" i="13"/>
  <c r="G49" i="24" l="1"/>
  <c r="F44" i="3" s="1"/>
  <c r="G29" i="17"/>
  <c r="G30" i="14"/>
  <c r="G28" i="13"/>
  <c r="G45" i="21"/>
  <c r="G46" i="21" s="1"/>
  <c r="F32" i="3" s="1"/>
  <c r="G32" i="3" s="1"/>
  <c r="G54" i="20"/>
  <c r="G55" i="20" s="1"/>
  <c r="F31" i="3" s="1"/>
  <c r="G31" i="3" s="1"/>
  <c r="G22" i="18"/>
  <c r="G43" i="18" s="1"/>
  <c r="G44" i="18" s="1"/>
  <c r="F29" i="3" s="1"/>
  <c r="G29" i="3" s="1"/>
  <c r="G36" i="17"/>
  <c r="G44" i="17" s="1"/>
  <c r="G45" i="17" s="1"/>
  <c r="F20" i="3" s="1"/>
  <c r="G20" i="3" s="1"/>
  <c r="G42" i="16"/>
  <c r="G23" i="16" s="1"/>
  <c r="G31" i="16"/>
  <c r="G21" i="15"/>
  <c r="G41" i="15" s="1"/>
  <c r="G42" i="15" s="1"/>
  <c r="F16" i="3" s="1"/>
  <c r="G16" i="3" s="1"/>
  <c r="G43" i="14"/>
  <c r="G22" i="14" s="1"/>
  <c r="G23" i="14" s="1"/>
  <c r="G46" i="14" s="1"/>
  <c r="G47" i="14" s="1"/>
  <c r="F15" i="3" s="1"/>
  <c r="G15" i="3" s="1"/>
  <c r="G40" i="13"/>
  <c r="G21" i="13" s="1"/>
  <c r="G22" i="13" s="1"/>
  <c r="G43" i="13" s="1"/>
  <c r="G44" i="13" s="1"/>
  <c r="F14" i="3" s="1"/>
  <c r="G14" i="3" s="1"/>
  <c r="F48" i="3" l="1"/>
  <c r="G48" i="3" s="1"/>
  <c r="G44" i="3"/>
  <c r="G44" i="16"/>
  <c r="G45" i="16" s="1"/>
  <c r="F19" i="3" s="1"/>
  <c r="G19" i="3" s="1"/>
  <c r="G67" i="3"/>
  <c r="G45" i="3" l="1"/>
  <c r="G102" i="3" l="1"/>
  <c r="G145" i="3" l="1"/>
  <c r="G142" i="3" l="1"/>
  <c r="G61" i="3" l="1"/>
  <c r="G148" i="3" l="1"/>
  <c r="G155" i="3" s="1"/>
  <c r="G64" i="3" l="1"/>
  <c r="G110" i="3" l="1"/>
  <c r="G156" i="3" l="1"/>
  <c r="G109" i="3"/>
  <c r="G108" i="3"/>
  <c r="G111" i="3" l="1"/>
  <c r="G121" i="3"/>
  <c r="E77" i="3"/>
  <c r="G136" i="3" l="1"/>
  <c r="G55" i="3"/>
  <c r="G58" i="3"/>
  <c r="G118" i="3"/>
  <c r="G153" i="3" l="1"/>
  <c r="G154" i="3" s="1"/>
  <c r="G149" i="3"/>
  <c r="G150" i="3" s="1"/>
  <c r="G68" i="3"/>
  <c r="G69" i="3" s="1"/>
  <c r="G70" i="3" s="1"/>
  <c r="F75" i="3" l="1"/>
  <c r="F74" i="3"/>
  <c r="F76" i="3"/>
  <c r="G152" i="3"/>
  <c r="G159" i="3" s="1"/>
  <c r="G160" i="3" l="1"/>
  <c r="G71" i="3"/>
  <c r="F77" i="3" l="1"/>
  <c r="G72" i="3" s="1"/>
  <c r="G161" i="3" l="1"/>
</calcChain>
</file>

<file path=xl/sharedStrings.xml><?xml version="1.0" encoding="utf-8"?>
<sst xmlns="http://schemas.openxmlformats.org/spreadsheetml/2006/main" count="1995" uniqueCount="441">
  <si>
    <t>No</t>
  </si>
  <si>
    <t>DESCRIPCION</t>
  </si>
  <si>
    <t>UNID</t>
  </si>
  <si>
    <t>CANTIDAD</t>
  </si>
  <si>
    <t>VALOR TOTAL</t>
  </si>
  <si>
    <t>A</t>
  </si>
  <si>
    <t>mes</t>
  </si>
  <si>
    <t>SUBTOTAL COSTOS DE MANTENIMIENTO Y CONSERVACIÓN</t>
  </si>
  <si>
    <t>B</t>
  </si>
  <si>
    <t xml:space="preserve">VALOR TOTAL BÁSICO DE OBRAS </t>
  </si>
  <si>
    <t>SUBTOTAL OBRAS INCLUYENDO IVA</t>
  </si>
  <si>
    <t>VALOR TOTAL DE LAS OBRAS Y EQUIPOS (SUBTOTAL OBRAS INCLUIDO IVA + A.I.U) (1)</t>
  </si>
  <si>
    <t>PORCENTAJE</t>
  </si>
  <si>
    <t>VALOR</t>
  </si>
  <si>
    <t>ADMINISTRACION</t>
  </si>
  <si>
    <t>A=</t>
  </si>
  <si>
    <t>IMPREVISTO</t>
  </si>
  <si>
    <t>I=</t>
  </si>
  <si>
    <t>UTILIDAD</t>
  </si>
  <si>
    <t>U=</t>
  </si>
  <si>
    <t>TOTAL A.I.U</t>
  </si>
  <si>
    <t>A.I.U.=</t>
  </si>
  <si>
    <t xml:space="preserve">Personal </t>
  </si>
  <si>
    <t>Tripulaciones</t>
  </si>
  <si>
    <t>C</t>
  </si>
  <si>
    <t>Ingeniero Mecánico</t>
  </si>
  <si>
    <t>D</t>
  </si>
  <si>
    <t>Alquileres</t>
  </si>
  <si>
    <t>E</t>
  </si>
  <si>
    <t>F</t>
  </si>
  <si>
    <t>Otros Gastos</t>
  </si>
  <si>
    <t>Equipo de Topografía</t>
  </si>
  <si>
    <t>SUBTOTAL COSTOS PERSONAL DE ADMINISTRACIÓN</t>
  </si>
  <si>
    <t>SUBTOTAL COSTOS DIRECTOS DE ADMINISTRACIÓN</t>
  </si>
  <si>
    <t>SUBTOTAL COSTOS DE ADMINISTRACIÓN</t>
  </si>
  <si>
    <t>Personal control de tráfico</t>
  </si>
  <si>
    <t>SUBTOTAL COSTOS PERSONAL CONTROL DE TRÁFICO</t>
  </si>
  <si>
    <t>Comunicaciones</t>
  </si>
  <si>
    <t>SUBTOTAL COSTOS COMUNICACIONES</t>
  </si>
  <si>
    <t>SUBTOTAL COSTOS DE VIGILANCIA</t>
  </si>
  <si>
    <t xml:space="preserve">SUBTOTAL PERSONAL ADMINISTRACIÓN + PERSONAL CONTROL DE TRÁFICO + PERSONAL PROGRAMAS Y ACTIVIDADES SOCIO-AMBIENTALES (GASTOS MENSUALES) </t>
  </si>
  <si>
    <t>FACTOR MULTIPLICADOR</t>
  </si>
  <si>
    <t>SUBTOTAL PERSONAL CON FACTOR MULTIPLICADOR</t>
  </si>
  <si>
    <t>IVA</t>
  </si>
  <si>
    <t>VALOR TOTAL (2)</t>
  </si>
  <si>
    <t>VALOR TOTAL DEL CONTRATO (1) + (2)</t>
  </si>
  <si>
    <t>II - MANTENIMIENTO Y CONSERVACIÓN DEL CORREDOR</t>
  </si>
  <si>
    <t>Reparaciones locativas y mantenimiento a las estaciones (Cabañas, Grecia, San Juan, Carare, Pullpapel, Barrancabermeja, García Cadena, San Rafael de Lebrija, Gamarra y Paso Nivel de Barrancabermeja)</t>
  </si>
  <si>
    <t>Suministro e instalación de Traviesas de madera para puentes en sectores en Operación</t>
  </si>
  <si>
    <t xml:space="preserve">Soldadura Aluminotérmica </t>
  </si>
  <si>
    <t>SUBTOTAL COSTOS DE CONSERVACIÓN Y MANTENIMIENTO MATERIAL RODANTE MENSUAL</t>
  </si>
  <si>
    <t>GL</t>
  </si>
  <si>
    <t>Unidad</t>
  </si>
  <si>
    <t xml:space="preserve">Ingeniero Territorial </t>
  </si>
  <si>
    <t xml:space="preserve">Caporal </t>
  </si>
  <si>
    <t xml:space="preserve">Conductores </t>
  </si>
  <si>
    <t>Cadenero</t>
  </si>
  <si>
    <t xml:space="preserve">Maquinistas </t>
  </si>
  <si>
    <t xml:space="preserve">Ayudantes </t>
  </si>
  <si>
    <t>Personal Talleres Grecia</t>
  </si>
  <si>
    <t xml:space="preserve">Mecánicos </t>
  </si>
  <si>
    <t>Soldador</t>
  </si>
  <si>
    <t xml:space="preserve">Tecnólogo de operaciones </t>
  </si>
  <si>
    <t xml:space="preserve">Jefes de estación </t>
  </si>
  <si>
    <t xml:space="preserve">Auxiliares de estación </t>
  </si>
  <si>
    <t>Alquiler radios (28). Incluye repetidores, enlaces y mantenimiento</t>
  </si>
  <si>
    <t>Supervisor Motorizados (24 horas)</t>
  </si>
  <si>
    <t>Estación Barranca (24 horas)</t>
  </si>
  <si>
    <t>Talleres Barranca (24 horas)</t>
  </si>
  <si>
    <t>Revisión Grecia (24 horas)</t>
  </si>
  <si>
    <t>Móvil 1 Grecia (24 horas)</t>
  </si>
  <si>
    <t>Vigilantes de Apoyo</t>
  </si>
  <si>
    <t xml:space="preserve">Ingeniero Ambiental </t>
  </si>
  <si>
    <t>SUBTOTAL COSTOS DE ATENCIÓN DE EMERGENCIAS</t>
  </si>
  <si>
    <t>SEGUROS Y POLIZA TODO RIESGO</t>
  </si>
  <si>
    <t xml:space="preserve">Profesional Social </t>
  </si>
  <si>
    <t>Personal</t>
  </si>
  <si>
    <t>Alquiler de vehículo. Incluye conductor</t>
  </si>
  <si>
    <t>Implementación de Programas Socio - Ambientales</t>
  </si>
  <si>
    <r>
      <rPr>
        <b/>
        <sz val="10"/>
        <color indexed="10"/>
        <rFont val="Arial Narrow"/>
        <family val="2"/>
      </rPr>
      <t>Rubro Fijo</t>
    </r>
    <r>
      <rPr>
        <sz val="10"/>
        <rFont val="Arial Narrow"/>
        <family val="2"/>
      </rPr>
      <t xml:space="preserve"> Implementación de Programas Socio - Ambientales. En caso que sea requerido por la autoridad ambiental. </t>
    </r>
  </si>
  <si>
    <t>SUBTOTAL COSTOS DE ACTIVIDADES SOCIO AMBIENTALES</t>
  </si>
  <si>
    <t>SUBTOTAL OTROS COSTOS DIRECTOS (COSTOS DIRECTOS DE ADMINISTRACIÓN + COMUNICACIONES + VIGILANCIA + ALQUILERES AMBIENTALES (GASTOS MENSUALES))</t>
  </si>
  <si>
    <t>RUBRO FIJO PROGRAMAS SOCIO AMBIEMNTALES</t>
  </si>
  <si>
    <t>Suministro e instalación de balasto</t>
  </si>
  <si>
    <t xml:space="preserve">Operador carromotor </t>
  </si>
  <si>
    <t>AGENCIA NACIONAL DE INFRAESTRUCTURA</t>
  </si>
  <si>
    <t>VICEPRESIDENCIA DE ESTRUCTURACIÓN</t>
  </si>
  <si>
    <t>CORREDOR FÉRREO LA DORADA - CHIRIGUANA</t>
  </si>
  <si>
    <t>PRECIO</t>
  </si>
  <si>
    <t>SUBTOTAL COSTO INTERVENCION A PUNTOS CRITICOS</t>
  </si>
  <si>
    <t>Director de Mantenimiento</t>
  </si>
  <si>
    <t>Global</t>
  </si>
  <si>
    <t xml:space="preserve">Unidad </t>
  </si>
  <si>
    <t>M3</t>
  </si>
  <si>
    <t>Auxiliar de Infraestructura</t>
  </si>
  <si>
    <t>SUBTOTAL COSTOS DE SEÑALIZACION</t>
  </si>
  <si>
    <t xml:space="preserve">Señales verticales  informativas </t>
  </si>
  <si>
    <t xml:space="preserve">Alquiler de vehículos </t>
  </si>
  <si>
    <t xml:space="preserve">ACPM, Gasolina, Aceite, Filtros </t>
  </si>
  <si>
    <t>Combustibles y Herramienta Menor</t>
  </si>
  <si>
    <t xml:space="preserve">Herramienta Menor </t>
  </si>
  <si>
    <t>SUBTOTAL COSTOS DIRECTOS GLOBALES DE ADMINISTRACIÓN</t>
  </si>
  <si>
    <t>ML</t>
  </si>
  <si>
    <t>m3</t>
  </si>
  <si>
    <t>m2</t>
  </si>
  <si>
    <t xml:space="preserve">RUBRO COSTOS DIRECTOS GLOBALES DE ADMINISTRACIÓN </t>
  </si>
  <si>
    <t>RUBRO ESTUDIOS Y DISEÑOS PUNTOS CRITICOS O ESTUDIOS COMPLEMENTARIOS</t>
  </si>
  <si>
    <t>III - ADMINISTRACIÓN CONSERVACIÓN Y MANTENIMIENTO DEL MATERIAL RODANTE</t>
  </si>
  <si>
    <t>IV - SEÑALIZACION</t>
  </si>
  <si>
    <t>ml</t>
  </si>
  <si>
    <t>Almacenista</t>
  </si>
  <si>
    <t>Paso a nivel de Barrancabermeja (3 turnos)</t>
  </si>
  <si>
    <t>Puesta a punto, mantenimiento, repuestos, pinturas, servicios contratados para material rodante y carromotores</t>
  </si>
  <si>
    <t>V - ATENCIÓN DE EMERGENCIAS</t>
  </si>
  <si>
    <t>Suministro e instalación de sujeciones</t>
  </si>
  <si>
    <t>Topógrafo</t>
  </si>
  <si>
    <t>Gerente con Vehículo (24 horas)</t>
  </si>
  <si>
    <t>Estación Carare (24 horas)</t>
  </si>
  <si>
    <t>Estación Grecia (24 horas)</t>
  </si>
  <si>
    <t>Estación Ferro México (24 horas)</t>
  </si>
  <si>
    <t>Acopio Ferro México (24 horas)</t>
  </si>
  <si>
    <t>Estación Gamarra (12 horas)</t>
  </si>
  <si>
    <t>ml-via</t>
  </si>
  <si>
    <t xml:space="preserve">Abogados </t>
  </si>
  <si>
    <t xml:space="preserve">VI- OBRAS COMPLEMENTARIAS </t>
  </si>
  <si>
    <t>SUBTOTAL COSTOS DE OBRAS COMPLEMENTARIAS</t>
  </si>
  <si>
    <t xml:space="preserve">VII - GASTOS DE ADMINISTRACIÓN </t>
  </si>
  <si>
    <t>VIII - CONTROL DE TRÁFICO</t>
  </si>
  <si>
    <t>IX - VIGILANCIA</t>
  </si>
  <si>
    <t>X - PROGRAMAS Y ACTIVIDADES SOCIO-AMBIENTALES</t>
  </si>
  <si>
    <t>FORMATO 6 - OFERTA ECONOMICA</t>
  </si>
  <si>
    <t xml:space="preserve">SUBTOTAL PUTOS CRITICOS + MANTENIMIENTO Y CONSERVACIÓN DEL CORREDOR + CONSERVACIÓN Y MANTENIMIENTO DEL MATERIAL RODANTE  + SEÑALIZACION + ATENCION A EMERGENCIAS + OBRAS COMPLEMENTARIAS </t>
  </si>
  <si>
    <t>CONFORMACIÓN DEL TERRAPLEN FERROVIARIO</t>
  </si>
  <si>
    <t>CONSTRUCCION DE ALCANTARILLADO</t>
  </si>
  <si>
    <t>DEMOLICIÓN DE CONCRETO ESTRUCTURAL PROVENIENTE DE ALCANTARILLAS, PUENTES Y OTRAS ESTRUCTURAS, INCLUYE CARGUE Y RETIRO SEGÚN NORMA INV - ART 201 - 07</t>
  </si>
  <si>
    <t>Gl</t>
  </si>
  <si>
    <t>DRENAJES DE TALUD</t>
  </si>
  <si>
    <t>ELEMENTOS DE CONTENCION</t>
  </si>
  <si>
    <t>OTROS ITEMS</t>
  </si>
  <si>
    <t xml:space="preserve">Localización y Replanteo Topográfico </t>
  </si>
  <si>
    <t>Retiro de Superestructura de Vía Férrea</t>
  </si>
  <si>
    <t>Demolición de columna metálica, formado por piezas simples de perfil de acero laminado, de hasta 3 m de longitud media, con equipo de oxicorte, y carga manual de escombros sobre camión o contenedor.</t>
  </si>
  <si>
    <t>Terraplenado y compactación manual para núcleo de terraplén con material de la propia excavación, hasta alcanzar una densidad seca no inferior al 95% de la máxima obtenida en el ensayo proctor modificado</t>
  </si>
  <si>
    <t>Montaje y nivelación de superestructura de vía férrea, con material de 2º uso, incluye Balasto nuevo (1,2 M3/ML Vía)</t>
  </si>
  <si>
    <t>Empradización de terraplenes</t>
  </si>
  <si>
    <t>Suministro, extendido y nivelación manual de material drenante para recubrimiento de tubería</t>
  </si>
  <si>
    <t>Suministro, extendido, nivelación y compactación manual de material de base granular para capa de forma de terraplén ferroviario, incluye acopio, cargue y transporte.</t>
  </si>
  <si>
    <t>Suministro, extendido, nivelación y compactación manual de material de SUBBASE granular para capa de SUBBALASTO, incluye acopio, cargue y transporte.</t>
  </si>
  <si>
    <t>Descapote y limpieza del terreno con arbusto</t>
  </si>
  <si>
    <t>Excavación y clasificación de material de zona, apto para relleno de Geoceldas en muros</t>
  </si>
  <si>
    <t>Relleno con rajón para mejora de la base de asiento de alcantarillas</t>
  </si>
  <si>
    <t>Demolición de concreto estructural proveniente de alcantarillas, puentes y otras estructuras, incluye cargue y retiro según Norma INV - ART 201 - 07</t>
  </si>
  <si>
    <t>Manejo de aguas, incluye suministro e instalación de pantalla de tablestacas, bolsa tierras con material proveniente de las excavaciones y retroexcavadora</t>
  </si>
  <si>
    <t xml:space="preserve">Concreto reforzado hecho en obra de 21 MPA, para estructuras de muros cabezales, aletas y losa de piso para encole y descole, incluye aceros (80 kg/m3) y formaleta </t>
  </si>
  <si>
    <t>Retiro de tubería metálica, incluye corte y cargue al tren para traslado hasta estación mas cercana</t>
  </si>
  <si>
    <t xml:space="preserve">Paisajeo general y/o adecuación de encole y descole </t>
  </si>
  <si>
    <t>Concreto clase e (175 kg/cm2 ó 2500 psi) elaborado en obra, incluso formaletas</t>
  </si>
  <si>
    <t>Cunetas a pie de talud revestidas en concreto simple de 21 MPA (hecho en obra) de e= 10 cm, incluye acero 1,7 kg/ml, excavación manual, afirmado y formaleta.</t>
  </si>
  <si>
    <t>Suministro e instalación de geotextil NT 1600</t>
  </si>
  <si>
    <t>Soldadura aluminotermica</t>
  </si>
  <si>
    <t>REPUBLICA DE COLOMBIA</t>
  </si>
  <si>
    <t>VICEPRESIDENCIA DE ESTRUCTURACION</t>
  </si>
  <si>
    <t>MODO FERREO</t>
  </si>
  <si>
    <t>ANALISIS DE PRECIOS UNITARIOS</t>
  </si>
  <si>
    <t>ITEM: 1.1</t>
  </si>
  <si>
    <t xml:space="preserve">LOCALIZACION Y REPLANTEO TOPOGRAFICO </t>
  </si>
  <si>
    <t>UNIDAD:</t>
  </si>
  <si>
    <t>M2</t>
  </si>
  <si>
    <t>1. EQUIPO:</t>
  </si>
  <si>
    <t>TARIFA HORA/DIA</t>
  </si>
  <si>
    <t>RENDIMIENTO</t>
  </si>
  <si>
    <t>VALOR UNITARIO</t>
  </si>
  <si>
    <t>Equipo de Topografia - estacion total</t>
  </si>
  <si>
    <t>Herramienta menor</t>
  </si>
  <si>
    <t>SUBTOTAL</t>
  </si>
  <si>
    <t>2. MATERIALES:</t>
  </si>
  <si>
    <t>UNIDAD</t>
  </si>
  <si>
    <t>PRECIO UNIT.</t>
  </si>
  <si>
    <t>Estacas de madera</t>
  </si>
  <si>
    <t>Puntilla</t>
  </si>
  <si>
    <t>Libra</t>
  </si>
  <si>
    <t>3. TRANSPORTE:</t>
  </si>
  <si>
    <t>MATERIAL</t>
  </si>
  <si>
    <t>VOLUMEN</t>
  </si>
  <si>
    <t>RECOR. (KM)</t>
  </si>
  <si>
    <t>COSTO</t>
  </si>
  <si>
    <t>4. MANO DE OBRA:</t>
  </si>
  <si>
    <t>TRABAJADOR</t>
  </si>
  <si>
    <t>JORNAL</t>
  </si>
  <si>
    <t>PRESTACIONES</t>
  </si>
  <si>
    <t>COSTO DIA</t>
  </si>
  <si>
    <t>Topografo</t>
  </si>
  <si>
    <t>Cadenero (2)</t>
  </si>
  <si>
    <t>COSTO TOTAL DIRECTO</t>
  </si>
  <si>
    <t>ITEM: 1.2</t>
  </si>
  <si>
    <t>Equipo de oxicorte</t>
  </si>
  <si>
    <t>Equipo para extraer sujeciones</t>
  </si>
  <si>
    <t>Retrocargadora para desmonte de elementos de vía</t>
  </si>
  <si>
    <t>Oxígeno</t>
  </si>
  <si>
    <t>Botella</t>
  </si>
  <si>
    <t>Acetileno</t>
  </si>
  <si>
    <t>Oficial</t>
  </si>
  <si>
    <t>Ayudante (10)</t>
  </si>
  <si>
    <t>ITEM: 1.3</t>
  </si>
  <si>
    <t>EXCAVACION MECANICA EN MATERIAL COMUN</t>
  </si>
  <si>
    <t>Retroexcavadora de oruga, valde 1,3 m3, potencia 143 HP</t>
  </si>
  <si>
    <t>Material proveniente excavacion</t>
  </si>
  <si>
    <t>Ayudante (1)</t>
  </si>
  <si>
    <t>ITEM: 1.9</t>
  </si>
  <si>
    <t>MONTAJE Y NIVELACION DE SUPERESTRUCTURA DE VIA FERREA,  CON MATERIAL DE 2º USO, INCLUYE BALASTO NUEVO (1,2 M3/ML)</t>
  </si>
  <si>
    <t>Planta eléctrica</t>
  </si>
  <si>
    <t>Equipo de bateo, (incluye gatas de nivelación)</t>
  </si>
  <si>
    <t>Equipo para instalar sujeciones</t>
  </si>
  <si>
    <t>Gravilla con granulometría adecuada para Balasto (anexo 2)</t>
  </si>
  <si>
    <t>ITEM: 1.10</t>
  </si>
  <si>
    <t xml:space="preserve">EMPRADIZACION DE TERRAPLENES </t>
  </si>
  <si>
    <t>Cesped</t>
  </si>
  <si>
    <t>Urea</t>
  </si>
  <si>
    <t>Kg</t>
  </si>
  <si>
    <t>Suelo Orgánico</t>
  </si>
  <si>
    <t>Ayudante (2)</t>
  </si>
  <si>
    <t xml:space="preserve">Compresor 125 pies con marillo, incluye combustible </t>
  </si>
  <si>
    <t>Material proveniente de la demolición</t>
  </si>
  <si>
    <t>Ayudante (3)</t>
  </si>
  <si>
    <t>MANEJO DE AGUAS (INCLUYE SUMINISTRO E INSTALACION DE PANTALLA DE TABLESTACAS, BOLSATIERRAS Y RETROEXCAVADORA)</t>
  </si>
  <si>
    <t>Retroexcavadora de oruga, valde 1,3m3, potencia 143HP</t>
  </si>
  <si>
    <t>Madera rolliza d=4"</t>
  </si>
  <si>
    <t>Limatón de 10*10 cm</t>
  </si>
  <si>
    <t>Bolsatierra</t>
  </si>
  <si>
    <t>Ayudante (4)</t>
  </si>
  <si>
    <t xml:space="preserve">CONCRETO REFORZADO HECHO EN OBRA DE 21 MPA PARA ESTRUCTURAS DE MUROS CABEZALES, ALETAS Y LOSA DE PISO PARA ENCOLE Y DESCOLE, INCLUYE ACERO (80 KG/M3) Y FORMALETA </t>
  </si>
  <si>
    <t>Vibrador de concreto</t>
  </si>
  <si>
    <t>Formaleta de madera</t>
  </si>
  <si>
    <t>Mezcladora</t>
  </si>
  <si>
    <t>Agua</t>
  </si>
  <si>
    <t>Litro</t>
  </si>
  <si>
    <t>Arena lavada</t>
  </si>
  <si>
    <t>Cemento Gris</t>
  </si>
  <si>
    <t>Bulto</t>
  </si>
  <si>
    <t>Acero de Refuerzo de 420 Mpa</t>
  </si>
  <si>
    <t>Desperdicios</t>
  </si>
  <si>
    <t>Arena Lavada</t>
  </si>
  <si>
    <t>Ayudante (6)</t>
  </si>
  <si>
    <t>RETIRO DE TUBERIA METALICA TIPO ARMCO, INCLUYE CORTE Y CARGUE AL TREN PARA TRASLADO HASTA ESTACION MAS CERCANA</t>
  </si>
  <si>
    <t>Ayudante (5)</t>
  </si>
  <si>
    <t xml:space="preserve">SUMINISTRO E INSTALACIÓN DE GEOTEXTIL NT 1600 </t>
  </si>
  <si>
    <t>Geotextil NT 1600</t>
  </si>
  <si>
    <t>Hilo</t>
  </si>
  <si>
    <t>Ml</t>
  </si>
  <si>
    <t>SOLDADURA ALUMINOTERMICA</t>
  </si>
  <si>
    <t>UN</t>
  </si>
  <si>
    <t xml:space="preserve">Retrocargadora </t>
  </si>
  <si>
    <t>Herramienta menor incluye toldo para lluvias</t>
  </si>
  <si>
    <t>3, TRANSPORTE:</t>
  </si>
  <si>
    <t>Transporte Kit Soldadura</t>
  </si>
  <si>
    <t>4, MANO DE OBRA:</t>
  </si>
  <si>
    <t>Soldador calificado</t>
  </si>
  <si>
    <t>Ayudantes (4)</t>
  </si>
  <si>
    <t xml:space="preserve">PAISAJEO GENERAL Y/O ADECUACIÓN DE ENCOLE Y DESCOLE </t>
  </si>
  <si>
    <t>Dorada - Chiriguaná</t>
  </si>
  <si>
    <t>RETIRO DE SUPERESTRUCTURA DE VIA FERREA</t>
  </si>
  <si>
    <t xml:space="preserve">Gravilla con granulometría adecuada para Balasto </t>
  </si>
  <si>
    <t>Alambre negro para amarre</t>
  </si>
  <si>
    <t>DEMOLICIÓN DE COLUMNA METÁLICA, FORMADO POR PIEZAS SIMPLES DE PERFIL DE ACERO LAMINADO, DE HASTA 3 M DE LONGITUD MEDIA, CON EQUIPO DE OXICORTE, Y CARGA MANUAL DE ESCOMBROS SOBRE CAMIÓN O CONTENEDOR.</t>
  </si>
  <si>
    <t>HERRAMIENTA MENOR</t>
  </si>
  <si>
    <t>OXIGENO</t>
  </si>
  <si>
    <t>ACETILENO</t>
  </si>
  <si>
    <t>PROPANO</t>
  </si>
  <si>
    <t>DESPERDICIO (5%)</t>
  </si>
  <si>
    <t>M3-Km</t>
  </si>
  <si>
    <t>Tarifa</t>
  </si>
  <si>
    <t>GASES</t>
  </si>
  <si>
    <t>ACARREO INTERNO</t>
  </si>
  <si>
    <t>ESTRUCTURA DESMONTADA</t>
  </si>
  <si>
    <t xml:space="preserve">Dorada - Chiriguaná </t>
  </si>
  <si>
    <t>ITEM: 1.4</t>
  </si>
  <si>
    <t>Grua Camion</t>
  </si>
  <si>
    <t>Equipo oxicorte</t>
  </si>
  <si>
    <t>TERRAPLENADO Y COMPACTACIÓN MANUAL PARA NÚCLEO DE TERRAPLÉN CON MATERIAL DE LA PROPIA EXCAVACIÓN, HASTA ALCANZAR UNA DENSIDAD SECA NO INFERIOR AL 95% DE LA MÁXIMA OBTENIDA EN EL ENSAYO PROCTOR MODIFICADO.</t>
  </si>
  <si>
    <t>CANGURO</t>
  </si>
  <si>
    <t>BENITIN DD-24</t>
  </si>
  <si>
    <t>MOTOBOMBA</t>
  </si>
  <si>
    <t>AGUA</t>
  </si>
  <si>
    <t>LT</t>
  </si>
  <si>
    <t>SUMINISTRO, EXTENDIDO Y NIVELACIÓN  DE MATERIAL DRENANTE PARA RECUBRIMIENTO DE TUBERÍA</t>
  </si>
  <si>
    <t>Minicargador</t>
  </si>
  <si>
    <t xml:space="preserve">Material drenante </t>
  </si>
  <si>
    <t>Geotextil NT-1600</t>
  </si>
  <si>
    <t>Desperdicio</t>
  </si>
  <si>
    <t>MINICARGADOR</t>
  </si>
  <si>
    <t>BENITIN</t>
  </si>
  <si>
    <t>MATERIAL SELECCIONADO</t>
  </si>
  <si>
    <t>MATERIAL AFIRMADO</t>
  </si>
  <si>
    <t>SUMINISTRO, EXTENDIDO, NIVELACION Y COMPACTACION MANUAL DE BASE GRANULAR PARA CAPA DE SUBBALASTO, INCLUYE ACOPIO, CARGUE Y TRANSPORTE</t>
  </si>
  <si>
    <t>Capa de Subbalasto de acuerdo a granulometria de anexo 2</t>
  </si>
  <si>
    <t xml:space="preserve">SUMINISTRO, EXTENDIDO, NIVELACION Y COMPACTACION MANUAL DE SUBBASE GRANULAR PARA CAPA DE FORMA DE TERRAPLEN FERROVIARIO, INCLUYE ACOPIO, CARGUE Y TRANSPORTE </t>
  </si>
  <si>
    <t>Subase SBG-1</t>
  </si>
  <si>
    <t>DESCAPOTE Y LIMPIEZA DEL TERRENO CON ARBUSTOS e=0,30 m</t>
  </si>
  <si>
    <t>Motosierra</t>
  </si>
  <si>
    <t>Bulldozer / Retro con cuchilla / similar</t>
  </si>
  <si>
    <t>MATERIAL DESMONTADO</t>
  </si>
  <si>
    <t>EXCAVACIÓN Y CLASIFICACIÓN DE MATERIAL DE ZONA, APTO PARA RELLENO DE GEOCELDAS EN MUROS</t>
  </si>
  <si>
    <t>Retroexcavadora</t>
  </si>
  <si>
    <t>TRASIEGO DE MATERIAL</t>
  </si>
  <si>
    <t>RELLENO  CON RAJÓN PARA MEJORA DE LA BASE DE ASIENTO DE ALCANTARILLAS</t>
  </si>
  <si>
    <t>RETROEXCAVADORA</t>
  </si>
  <si>
    <t>RAJÓN</t>
  </si>
  <si>
    <t>DESPERDICIO</t>
  </si>
  <si>
    <t>TRANSPORTE RAJÓN</t>
  </si>
  <si>
    <t>SUMINISTRO E INSTALACIÓN DE TUBO PREFABRICADO DE CONCRETO DE 1.5 M DE DIÁMETRO, CLASE III (Incluye transporte y manipulación)</t>
  </si>
  <si>
    <t>GRUA - Instalación</t>
  </si>
  <si>
    <t>GRUA  - Descargue Barranca</t>
  </si>
  <si>
    <t>GRUA  - En paso a nivel</t>
  </si>
  <si>
    <t>DIFERENCIAL</t>
  </si>
  <si>
    <t>ENTIBADO</t>
  </si>
  <si>
    <t>TUBO PREFABRICADO DE D= 1500MM</t>
  </si>
  <si>
    <t>CINTA PARA PEGA + IMPRIMANTE</t>
  </si>
  <si>
    <t>ACARREO METRO LINEAL DE TUBERIA DESDE LA FABRICA HASTA BARRANCA</t>
  </si>
  <si>
    <t>TRANSPORTE BARRANCA A SITIO</t>
  </si>
  <si>
    <t>SUMINISTRO E INSTALACIÓN DE TUBO PREFABRICADO DE CONCRETO DE 1.8 M DE DIÁMETRO, CLASE III (Incluye transporte y manipulación)</t>
  </si>
  <si>
    <t>TUBO PREFABRICADO DE D= 1800MM</t>
  </si>
  <si>
    <t>CONCRETO CLASE E (175 kg/cm2 Ó 2500 PSI) ELABORADO EN OBRA, INCLUSO FORMALETAS</t>
  </si>
  <si>
    <t>Vibradora de concreto</t>
  </si>
  <si>
    <t>Formaleta</t>
  </si>
  <si>
    <t>Mezcladora de concreto 1 Bulto</t>
  </si>
  <si>
    <t xml:space="preserve">Cemento </t>
  </si>
  <si>
    <t>Grava</t>
  </si>
  <si>
    <t>Kg/M3</t>
  </si>
  <si>
    <t>Arena</t>
  </si>
  <si>
    <t>Separol</t>
  </si>
  <si>
    <t>Antisol</t>
  </si>
  <si>
    <t>Lt/M3</t>
  </si>
  <si>
    <t>CUNETAS A PIE DE TALUD REVESTIDAS EN CONCRETO SIMPLE DE 21 MPA (HECHO EN OBRA) DE e= 15 cm , INCLUYE ACERO 1,7 Kg/ml, EXCAVACIÓN MANUAL, AFIRMADO Y FORMALETA.</t>
  </si>
  <si>
    <t>Rana</t>
  </si>
  <si>
    <t>Mezcladora de concreto</t>
  </si>
  <si>
    <t>Afirmado</t>
  </si>
  <si>
    <t>Materiales para concreto</t>
  </si>
  <si>
    <t>Acero</t>
  </si>
  <si>
    <t xml:space="preserve">SUMINISTRO E INSTALACIÓN DE GEOCELDA  NO PERFORADA, 445 MM, CON ALTURA DE CELDA DE 200 MM Y APERTURA DE 340X290 MM O SIMILAR, PARA CONSTRUCCIÓN DE MUROS CON MATERIAL DE SITIOS. INCLUYE PARTE PROPORCIONAL SISTEMAS DE GRAPADO Y MONTAJE </t>
  </si>
  <si>
    <t>Benitin</t>
  </si>
  <si>
    <t>Montacargas Descargue</t>
  </si>
  <si>
    <t>Montacargas Cargue</t>
  </si>
  <si>
    <t>Pistola Neumática (Incluye Compresor)</t>
  </si>
  <si>
    <t>Geocelda 200 mm tipo B</t>
  </si>
  <si>
    <t>Grapas galvanizada de 1/2</t>
  </si>
  <si>
    <t>Un</t>
  </si>
  <si>
    <t>Lt</t>
  </si>
  <si>
    <t xml:space="preserve">Piquetas </t>
  </si>
  <si>
    <t>Geoceldas barranca a cada punto</t>
  </si>
  <si>
    <t>SUMINISTRO E INSTALACIÓN DE GEOCELDA  PERFORADA, 445 MM, CON ALTURA DE CELDA DE 150 MM Y APERTURA DE 340X290 MM O SIMILAR, PARA PROTECCIÓN DE TALUDES CON TIERRA VEGETAL INCLUYE PARTE PROPORCIONAL SISTEMAS DE GRAPADO Y ANCLAJE MEDIANTE PIQUETAS 1,8 UD/M2</t>
  </si>
  <si>
    <t>Geocelda  Tipo A 150 mm</t>
  </si>
  <si>
    <t>Grapas</t>
  </si>
  <si>
    <t>Relleno en tierra vegetal</t>
  </si>
  <si>
    <t>ITEM: 1.25</t>
  </si>
  <si>
    <t>ITEM: 1.5</t>
  </si>
  <si>
    <t>ITEM: 1.8</t>
  </si>
  <si>
    <t>ITEM: 1.11</t>
  </si>
  <si>
    <t>ITEM: 1.12</t>
  </si>
  <si>
    <t>ITEM: 1.13</t>
  </si>
  <si>
    <t>ITEM: 1.14</t>
  </si>
  <si>
    <t>ITEM: 1.21</t>
  </si>
  <si>
    <t>ITEM: 1.22</t>
  </si>
  <si>
    <t>ITEM: 1.23</t>
  </si>
  <si>
    <t>ITEM: 1.24</t>
  </si>
  <si>
    <t xml:space="preserve">Ayudante </t>
  </si>
  <si>
    <t xml:space="preserve">Excavación mecánica en material común </t>
  </si>
  <si>
    <t>Suministro e instalación de geocelda no perforada, 445 mm, con altura de celda de 200 mm y apertura de 340x290 mm o similar, para construcción de muros con material de sitios. Incluye parte proporcional sistemas de grapado y montaje</t>
  </si>
  <si>
    <t>ITEM: 1.20</t>
  </si>
  <si>
    <t>ITEM: 1-19</t>
  </si>
  <si>
    <t>ITEM: 1.18</t>
  </si>
  <si>
    <t>ITEM: 1.17</t>
  </si>
  <si>
    <t>ITEM: 1.16</t>
  </si>
  <si>
    <t>ITEM: 1.15</t>
  </si>
  <si>
    <t>ITEM: 1.7</t>
  </si>
  <si>
    <t>ITEM: 1.6</t>
  </si>
  <si>
    <t>Suministro e instalación de geocelda perforada, 445 mm, con altura de celda de 150 mm y apertura de 340x290 mm o similar, para protección de taludes con tierra vegetal incluye parte proporcional sistemas de grapado y anclaje mediante piquetas 1,8 ud/m2</t>
  </si>
  <si>
    <t>Suministro e instalación de tubo prefabricado de concreto de 1,8 m de diámetro, clase III (incluye transporte y manipulación)</t>
  </si>
  <si>
    <t>Suministro e instalación de tubo prefabricado de concreto de 1,5 m de diámetro, clase III (incluye transporte y manipulación)</t>
  </si>
  <si>
    <t>I - INTERVENCION A PUNTOS CRITICOS (INCLUYE CANTIDADES PARA APARTADEROS)</t>
  </si>
  <si>
    <t>Suministro e instalación de cambiavías</t>
  </si>
  <si>
    <t>MOTONIVELADORA DE 120 HP</t>
  </si>
  <si>
    <r>
      <rPr>
        <b/>
        <sz val="10"/>
        <color rgb="FFFF0000"/>
        <rFont val="Arial Narrow"/>
        <family val="2"/>
      </rPr>
      <t>Rubro Fijo</t>
    </r>
    <r>
      <rPr>
        <b/>
        <sz val="10"/>
        <rFont val="Arial Narrow"/>
        <family val="2"/>
      </rPr>
      <t xml:space="preserve"> para atención de emergencias. </t>
    </r>
  </si>
  <si>
    <r>
      <rPr>
        <b/>
        <sz val="10"/>
        <color rgb="FFFF0000"/>
        <rFont val="Arial Narrow"/>
        <family val="2"/>
      </rPr>
      <t>Rubro Fijo</t>
    </r>
    <r>
      <rPr>
        <b/>
        <sz val="10"/>
        <rFont val="Arial Narrow"/>
        <family val="2"/>
      </rPr>
      <t xml:space="preserve"> para atención para obras complementarias </t>
    </r>
  </si>
  <si>
    <t>Gastos de Viaje por longitud del corredor-Caja Menor</t>
  </si>
  <si>
    <t>Gastos Adm (Incluye arriendos, computadores, consumibles y equipos, servicios públicos y celulares)</t>
  </si>
  <si>
    <t xml:space="preserve">No modificar </t>
  </si>
  <si>
    <t>Retroexcavadora de oruga, valde 1,3 m3, potencia 143 HP. Incluye vertido</t>
  </si>
  <si>
    <t>Predio IDEMA (24 horas)</t>
  </si>
  <si>
    <t>SUMINISTRO E INSTALACIÓN DE TRAVIESAS DE MADERA PARA PUENTES EN SECTORES EN OPERACIÓN - INCLUYE SUJECIONES Y PLACAS DE ASIENTO</t>
  </si>
  <si>
    <t>Equipo para extraer sujeciones existentes</t>
  </si>
  <si>
    <t>Barrenadora de traviesas de madera</t>
  </si>
  <si>
    <t>Gato de vía</t>
  </si>
  <si>
    <t>Vehiculo para transportar traviesas</t>
  </si>
  <si>
    <t>Palas (4)</t>
  </si>
  <si>
    <t>Equipos de seguridad</t>
  </si>
  <si>
    <t>Traviesa de madera cajeada y zunchada</t>
  </si>
  <si>
    <t>Tirafondos</t>
  </si>
  <si>
    <t>Placas de asiento</t>
  </si>
  <si>
    <t>Sujeciones</t>
  </si>
  <si>
    <t>Gastos de Nacioanlización</t>
  </si>
  <si>
    <t>GLOBAL</t>
  </si>
  <si>
    <t>Traviesa de madera</t>
  </si>
  <si>
    <t>Bateadora Manual</t>
  </si>
  <si>
    <t>ITEM: 1.30</t>
  </si>
  <si>
    <t xml:space="preserve">SUMINISTRO E INSTALACION DE CAMBIAVIAS TG 1:12 RIEL ARA 90 LIBRAS/YARDA (INCLUYE SUMINISTRO E INSTALACION DE ELEMENTOS DE SUJECION, JUEGO DE TRAVIESAS Y OPERADOR CAMBIAVIAS) </t>
  </si>
  <si>
    <t>ML-VIA</t>
  </si>
  <si>
    <t>Cambiavías TG 1/12 riel ARA A - 90 (incluye suministro e instalación de elementos de sujeción, juego de traviesas y operador cambiavias)</t>
  </si>
  <si>
    <t>Gastos de Nacionalización</t>
  </si>
  <si>
    <t>Cambiavías</t>
  </si>
  <si>
    <t>ITEM: 1.31</t>
  </si>
  <si>
    <t>ITEM: 1.26</t>
  </si>
  <si>
    <t xml:space="preserve">Kit de soldadura aluminotermica incluye (juego placas, soportes, cubeta, soporte quemador, prensa, juego de suplementos para pacas y moldes, aro porta crisol, equipo de precalentamiento aire comprimido propano, regla de alineacion y caballete de alineación, otros) </t>
  </si>
  <si>
    <t xml:space="preserve">Consumibles procedimiento (kits de soldadura aluminotérmica de carril 90 ARA-A con dureza mínima 310 HB, con cala normal de 25 mm, incluido crisol, porción aluminotérmica, pasta de sellar y nacionalización) </t>
  </si>
  <si>
    <t>SUMINISTRO E INSTALACIÓN DE RIEL DE 90 Lb/Yd, INCLUYE ELEMENTOS DE FIJACIÓN Y TRANSPORTE - PRECIO POR ML DE VÍA (PAR DE RIELES)</t>
  </si>
  <si>
    <t>Riel 90 Lb/Yd</t>
  </si>
  <si>
    <t>ml-vía</t>
  </si>
  <si>
    <t>Almohadillas</t>
  </si>
  <si>
    <t>Placa de asiento</t>
  </si>
  <si>
    <t>Clips</t>
  </si>
  <si>
    <t>ITEM: 1.32</t>
  </si>
  <si>
    <t xml:space="preserve">Equipo para instalar  sujeciones </t>
  </si>
  <si>
    <t>Retroexcavadora de oruga, valde 1,3 m3, potencia 143 HP. Para cargue y descargue</t>
  </si>
  <si>
    <t>Gravilla con granulometría adecuada para balasto</t>
  </si>
  <si>
    <t>ITEM: 1.33</t>
  </si>
  <si>
    <t>Traviesa de concreto para trocha yárdica. Incluye hombros bipata</t>
  </si>
  <si>
    <t>SUMINISTRO E INSTALACIÓN DE TRAVIESAS DE CONCRETO (INCLUYE SUJECIONES Y PLACAS DE ASIENTO). PARA APARTADEROS</t>
  </si>
  <si>
    <t>VALOR UNITARIO OFERTADO</t>
  </si>
  <si>
    <t>“REPARACIÓN Y ATENCIÓN DE PUNTOS CRÍTICOS QUE PRESENTA LA VÍA FÉRREA EN LOS TRAMOS: LA DORADA - CHIRIGUANÁ Y BOGOTÁ – BELENCITO SEGÚN LO ESTABLECEN LOS APENDICES TECNICOS, ASÍ COMO SU ADMINISTRACIÓN, MANTENIMIENTO, VIGILANCIA, OPERACIÓN Y CONTROL DE TRÁFICO ENTRE OTRAS ACTIVIDADES”</t>
  </si>
  <si>
    <t>OBJETO:“REPARACIÓN Y ATENCIÓN DE PUNTOS CRÍTICOS QUE PRESENTA LA VÍA FÉRREA EN LOS TRAMOS: LA DORADA - CHIRIGUANÁ Y BOGOTÁ – BELENCITO SEGÚN LO ESTABLECEN LOS APENDICES TECNICOS, ASÍ COMO SU ADMINISTRACIÓN, MANTENIMIENTO, VIGILANCIA, OPERACIÓN Y CONTROL DE TRÁFICO ENTRE OTRAS ACTIVIDADES”</t>
  </si>
  <si>
    <t>Ayudante de vía (16 cuadrillas de 10 personas)</t>
  </si>
  <si>
    <r>
      <t>PLAZO 14</t>
    </r>
    <r>
      <rPr>
        <b/>
        <sz val="11"/>
        <color indexed="10"/>
        <rFont val="Arial Narrow"/>
        <family val="2"/>
      </rPr>
      <t xml:space="preserve"> MESES</t>
    </r>
  </si>
  <si>
    <t xml:space="preserve">Suministro e instalación de riel perfil de 90 lbs/yda incluye sujeciones y transporte </t>
  </si>
  <si>
    <t>ITEM: 1.28</t>
  </si>
  <si>
    <t>ITEM: 1.27-1.29</t>
  </si>
  <si>
    <t>ITEM: 1.34</t>
  </si>
  <si>
    <t>VALOR IVA (OBRA) (19% SOBRE UTILIDAD OBRA)</t>
  </si>
  <si>
    <t xml:space="preserve">Suministro e instalación de traviesas de concreto (Incluye sujeciones y placas de asiento). </t>
  </si>
  <si>
    <t xml:space="preserve">SUMINISTRO, EXTENDIDO, NIVELACION Y COMPACTACION DE MATERIAL SELECCIONADO PARA RELLENO TERRAPLEN FERROVIARIO, INCLUYE ACOPIO, CARGUE Y TRANSPORTE </t>
  </si>
  <si>
    <t>Suministro, extendido, nivelación y compactación de material de afirmado para relleno terraplén ferroviario, incluye acopio, cargue y transporte.</t>
  </si>
  <si>
    <t xml:space="preserve">Operador reguladora y bateadora PLASER </t>
  </si>
  <si>
    <t>LICITACIÓN PÚBLICA VJ-VE-LP-001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</si>
</sst>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_€_-;\-* #,##0.00\ _€_-;_-* &quot;-&quot;??\ _€_-;_-@_-"/>
    <numFmt numFmtId="167" formatCode="_-* #,##0.0\ _€_-;\-* #,##0.0\ _€_-;_-* &quot;-&quot;??\ _€_-;_-@_-"/>
    <numFmt numFmtId="168" formatCode="[$$-500A]\ #,##0.00"/>
    <numFmt numFmtId="169" formatCode="_ [$$-240A]\ * #,##0_ ;_ [$$-240A]\ * \-#,##0_ ;_ [$$-240A]\ * &quot;-&quot;??_ ;_ @_ "/>
    <numFmt numFmtId="170" formatCode="_-* #,##0\ _€_-;\-* #,##0\ _€_-;_-* &quot;-&quot;??\ _€_-;_-@_-"/>
    <numFmt numFmtId="171" formatCode="#,##0.0"/>
    <numFmt numFmtId="172" formatCode="_ * #,##0_ ;_ * \-#,##0_ ;_ * &quot;-&quot;_ ;_ @_ "/>
    <numFmt numFmtId="173" formatCode="_-* #,##0_-;\-* #,##0_-;_-* &quot;-&quot;??_-;_-@_-"/>
    <numFmt numFmtId="174" formatCode="[$$-240A]\ #,##0.00"/>
    <numFmt numFmtId="175" formatCode="#,##0.00_);\-#,##0.00"/>
    <numFmt numFmtId="176" formatCode="#,##0.0000_);\-#,##0.0000"/>
    <numFmt numFmtId="177" formatCode="_-[$$-240A]* #,##0_-;\-[$$-240A]* #,##0_-;_-[$$-240A]* &quot;-&quot;??_-;_-@_-"/>
    <numFmt numFmtId="178" formatCode="[$$-240A]\ #,##0"/>
    <numFmt numFmtId="179" formatCode="_(&quot;$&quot;\ * #,##0.00_);_(&quot;$&quot;\ * \(#,##0.00\);_(&quot;$&quot;\ * &quot;-&quot;??_);_(@_)"/>
    <numFmt numFmtId="180" formatCode="_(* #,##0_);_(* \(#,##0\);_(* &quot;-&quot;??_);_(@_)"/>
    <numFmt numFmtId="181" formatCode="0.000"/>
    <numFmt numFmtId="182" formatCode="0.0"/>
    <numFmt numFmtId="183" formatCode="0.0%"/>
    <numFmt numFmtId="184" formatCode="#,##0.000"/>
    <numFmt numFmtId="185" formatCode="[$$-240A]#,##0.00"/>
    <numFmt numFmtId="186" formatCode="_-&quot;$&quot;* #,##0_-;\-&quot;$&quot;* #,##0_-;_-&quot;$&quot;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4"/>
      <color theme="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sz val="10"/>
      <name val="Calibri"/>
      <family val="2"/>
      <scheme val="minor"/>
    </font>
    <font>
      <b/>
      <sz val="16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6"/>
      <color theme="0"/>
      <name val="Arial Narrow"/>
      <family val="2"/>
    </font>
    <font>
      <sz val="10"/>
      <color theme="1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9.1"/>
      <color indexed="8"/>
      <name val="Arial"/>
      <family val="2"/>
    </font>
    <font>
      <b/>
      <sz val="7.9"/>
      <color indexed="8"/>
      <name val="Arial"/>
      <family val="2"/>
    </font>
    <font>
      <sz val="7.9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 Narrow"/>
      <family val="2"/>
    </font>
    <font>
      <sz val="8"/>
      <name val="Arial Narrow"/>
      <family val="2"/>
    </font>
    <font>
      <sz val="11"/>
      <color indexed="8"/>
      <name val="Arial Narrow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 indent="1"/>
    </xf>
    <xf numFmtId="167" fontId="3" fillId="0" borderId="1" xfId="5" applyNumberFormat="1" applyFont="1" applyFill="1" applyBorder="1" applyAlignment="1">
      <alignment horizontal="center" vertical="center"/>
    </xf>
    <xf numFmtId="169" fontId="3" fillId="0" borderId="1" xfId="6" applyNumberFormat="1" applyFont="1" applyFill="1" applyBorder="1" applyAlignment="1">
      <alignment horizontal="right" vertical="center" wrapText="1"/>
    </xf>
    <xf numFmtId="4" fontId="3" fillId="0" borderId="1" xfId="4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70" fontId="3" fillId="4" borderId="1" xfId="0" applyNumberFormat="1" applyFont="1" applyFill="1" applyBorder="1"/>
    <xf numFmtId="169" fontId="3" fillId="4" borderId="1" xfId="0" applyNumberFormat="1" applyFont="1" applyFill="1" applyBorder="1"/>
    <xf numFmtId="169" fontId="6" fillId="5" borderId="1" xfId="0" applyNumberFormat="1" applyFont="1" applyFill="1" applyBorder="1" applyAlignment="1">
      <alignment vertical="center"/>
    </xf>
    <xf numFmtId="169" fontId="8" fillId="3" borderId="1" xfId="0" applyNumberFormat="1" applyFont="1" applyFill="1" applyBorder="1" applyAlignment="1">
      <alignment vertical="center"/>
    </xf>
    <xf numFmtId="10" fontId="2" fillId="2" borderId="1" xfId="7" applyNumberFormat="1" applyFont="1" applyFill="1" applyBorder="1" applyAlignment="1">
      <alignment horizontal="center" vertical="center"/>
    </xf>
    <xf numFmtId="9" fontId="2" fillId="2" borderId="1" xfId="7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 indent="1"/>
    </xf>
    <xf numFmtId="0" fontId="3" fillId="4" borderId="1" xfId="0" applyFont="1" applyFill="1" applyBorder="1" applyAlignment="1">
      <alignment horizontal="center" vertical="center"/>
    </xf>
    <xf numFmtId="170" fontId="3" fillId="4" borderId="1" xfId="5" applyNumberFormat="1" applyFont="1" applyFill="1" applyBorder="1" applyAlignment="1">
      <alignment horizontal="center" vertical="center"/>
    </xf>
    <xf numFmtId="169" fontId="3" fillId="4" borderId="1" xfId="6" applyNumberFormat="1" applyFont="1" applyFill="1" applyBorder="1" applyAlignment="1">
      <alignment horizontal="right" vertical="center" wrapText="1"/>
    </xf>
    <xf numFmtId="4" fontId="3" fillId="4" borderId="1" xfId="4" applyNumberFormat="1" applyFont="1" applyFill="1" applyBorder="1" applyAlignment="1">
      <alignment horizontal="center" vertical="center"/>
    </xf>
    <xf numFmtId="4" fontId="2" fillId="4" borderId="1" xfId="4" applyNumberFormat="1" applyFont="1" applyFill="1" applyBorder="1" applyAlignment="1">
      <alignment horizontal="center" vertical="center"/>
    </xf>
    <xf numFmtId="169" fontId="2" fillId="4" borderId="1" xfId="6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 wrapText="1" indent="2"/>
    </xf>
    <xf numFmtId="171" fontId="6" fillId="5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3" fillId="0" borderId="0" xfId="0" applyNumberFormat="1" applyFont="1" applyFill="1" applyAlignment="1">
      <alignment vertical="center"/>
    </xf>
    <xf numFmtId="164" fontId="3" fillId="0" borderId="0" xfId="3" applyFont="1" applyFill="1" applyAlignment="1">
      <alignment vertical="center"/>
    </xf>
    <xf numFmtId="0" fontId="3" fillId="6" borderId="0" xfId="0" applyFont="1" applyFill="1" applyAlignment="1">
      <alignment vertical="center"/>
    </xf>
    <xf numFmtId="170" fontId="3" fillId="0" borderId="1" xfId="5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 indent="1"/>
    </xf>
    <xf numFmtId="170" fontId="2" fillId="4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indent="2"/>
    </xf>
    <xf numFmtId="4" fontId="3" fillId="0" borderId="1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72" fontId="3" fillId="6" borderId="0" xfId="0" applyNumberFormat="1" applyFont="1" applyFill="1" applyAlignment="1">
      <alignment vertical="center"/>
    </xf>
    <xf numFmtId="164" fontId="3" fillId="6" borderId="0" xfId="3" applyFon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Border="1" applyAlignment="1">
      <alignment horizontal="center" vertical="center"/>
    </xf>
    <xf numFmtId="0" fontId="17" fillId="8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173" fontId="3" fillId="0" borderId="1" xfId="1" applyNumberFormat="1" applyFont="1" applyFill="1" applyBorder="1" applyAlignment="1">
      <alignment vertical="center" wrapText="1"/>
    </xf>
    <xf numFmtId="173" fontId="12" fillId="0" borderId="1" xfId="1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3" fontId="2" fillId="4" borderId="1" xfId="4" applyNumberFormat="1" applyFont="1" applyFill="1" applyBorder="1" applyAlignment="1">
      <alignment horizontal="center" vertical="center"/>
    </xf>
    <xf numFmtId="0" fontId="12" fillId="0" borderId="1" xfId="8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Border="1"/>
    <xf numFmtId="0" fontId="24" fillId="0" borderId="0" xfId="0" applyFont="1" applyAlignment="1">
      <alignment horizontal="left" vertical="center"/>
    </xf>
    <xf numFmtId="9" fontId="25" fillId="0" borderId="1" xfId="0" applyNumberFormat="1" applyFont="1" applyBorder="1" applyAlignment="1">
      <alignment horizontal="center"/>
    </xf>
    <xf numFmtId="0" fontId="4" fillId="0" borderId="0" xfId="0" applyFont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174" fontId="25" fillId="0" borderId="1" xfId="0" applyNumberFormat="1" applyFont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174" fontId="25" fillId="0" borderId="1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9" fontId="25" fillId="0" borderId="1" xfId="0" applyNumberFormat="1" applyFont="1" applyBorder="1" applyAlignment="1">
      <alignment horizontal="center" vertical="center"/>
    </xf>
    <xf numFmtId="13" fontId="25" fillId="0" borderId="1" xfId="0" applyNumberFormat="1" applyFont="1" applyBorder="1" applyAlignment="1">
      <alignment horizontal="center" vertical="center" wrapText="1"/>
    </xf>
    <xf numFmtId="0" fontId="4" fillId="0" borderId="0" xfId="8"/>
    <xf numFmtId="0" fontId="4" fillId="0" borderId="11" xfId="8" applyBorder="1" applyAlignment="1">
      <alignment vertical="center"/>
    </xf>
    <xf numFmtId="0" fontId="4" fillId="0" borderId="0" xfId="8" applyBorder="1" applyAlignment="1">
      <alignment vertical="center"/>
    </xf>
    <xf numFmtId="0" fontId="4" fillId="0" borderId="12" xfId="8" applyBorder="1" applyAlignment="1">
      <alignment vertical="center"/>
    </xf>
    <xf numFmtId="0" fontId="4" fillId="0" borderId="8" xfId="8" applyBorder="1" applyAlignment="1">
      <alignment vertical="center"/>
    </xf>
    <xf numFmtId="0" fontId="4" fillId="0" borderId="9" xfId="8" applyBorder="1" applyAlignment="1">
      <alignment vertical="center"/>
    </xf>
    <xf numFmtId="0" fontId="4" fillId="0" borderId="10" xfId="8" applyBorder="1" applyAlignment="1">
      <alignment vertical="center"/>
    </xf>
    <xf numFmtId="0" fontId="21" fillId="0" borderId="0" xfId="8" applyFont="1" applyAlignment="1">
      <alignment horizontal="center"/>
    </xf>
    <xf numFmtId="0" fontId="4" fillId="0" borderId="0" xfId="8" applyBorder="1"/>
    <xf numFmtId="0" fontId="24" fillId="0" borderId="0" xfId="8" applyFont="1" applyAlignment="1">
      <alignment vertical="center"/>
    </xf>
    <xf numFmtId="0" fontId="4" fillId="0" borderId="0" xfId="8" applyAlignment="1">
      <alignment vertical="center"/>
    </xf>
    <xf numFmtId="0" fontId="22" fillId="0" borderId="0" xfId="8" applyFont="1" applyBorder="1" applyAlignment="1">
      <alignment horizontal="left"/>
    </xf>
    <xf numFmtId="0" fontId="4" fillId="0" borderId="0" xfId="8" applyBorder="1" applyAlignment="1">
      <alignment horizontal="center"/>
    </xf>
    <xf numFmtId="0" fontId="22" fillId="0" borderId="1" xfId="8" applyFont="1" applyBorder="1" applyAlignment="1">
      <alignment horizontal="center" vertical="center"/>
    </xf>
    <xf numFmtId="174" fontId="25" fillId="0" borderId="1" xfId="8" applyNumberFormat="1" applyFont="1" applyBorder="1" applyAlignment="1">
      <alignment vertical="center"/>
    </xf>
    <xf numFmtId="0" fontId="25" fillId="0" borderId="1" xfId="8" applyFont="1" applyBorder="1" applyAlignment="1">
      <alignment vertical="center"/>
    </xf>
    <xf numFmtId="0" fontId="25" fillId="0" borderId="0" xfId="8" applyFont="1" applyAlignment="1">
      <alignment vertical="center"/>
    </xf>
    <xf numFmtId="0" fontId="22" fillId="0" borderId="2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22" fillId="0" borderId="1" xfId="8" applyFont="1" applyBorder="1" applyAlignment="1">
      <alignment vertical="center"/>
    </xf>
    <xf numFmtId="0" fontId="22" fillId="0" borderId="3" xfId="8" applyFont="1" applyBorder="1" applyAlignment="1">
      <alignment vertical="center"/>
    </xf>
    <xf numFmtId="9" fontId="25" fillId="0" borderId="1" xfId="8" applyNumberFormat="1" applyFon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13" fontId="4" fillId="0" borderId="0" xfId="8" applyNumberFormat="1" applyFont="1"/>
    <xf numFmtId="10" fontId="25" fillId="0" borderId="1" xfId="8" applyNumberFormat="1" applyFont="1" applyBorder="1" applyAlignment="1">
      <alignment horizontal="center" vertical="center"/>
    </xf>
    <xf numFmtId="2" fontId="25" fillId="0" borderId="1" xfId="8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174" fontId="25" fillId="6" borderId="1" xfId="0" applyNumberFormat="1" applyFont="1" applyFill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174" fontId="25" fillId="0" borderId="1" xfId="0" applyNumberFormat="1" applyFont="1" applyBorder="1"/>
    <xf numFmtId="10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17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/>
    <xf numFmtId="0" fontId="22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0" xfId="0" applyFont="1"/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1" xfId="0" applyFont="1" applyBorder="1" applyAlignment="1"/>
    <xf numFmtId="0" fontId="22" fillId="0" borderId="1" xfId="0" applyFont="1" applyBorder="1" applyAlignment="1"/>
    <xf numFmtId="0" fontId="22" fillId="0" borderId="3" xfId="0" applyFont="1" applyBorder="1" applyAlignment="1"/>
    <xf numFmtId="174" fontId="25" fillId="0" borderId="1" xfId="0" applyNumberFormat="1" applyFont="1" applyBorder="1" applyAlignment="1"/>
    <xf numFmtId="10" fontId="25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0" xfId="0" applyNumberFormat="1" applyFill="1" applyBorder="1" applyAlignment="1" applyProtection="1">
      <alignment vertical="center" wrapText="1"/>
    </xf>
    <xf numFmtId="3" fontId="2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175" fontId="27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176" fontId="28" fillId="0" borderId="0" xfId="0" applyNumberFormat="1" applyFont="1" applyAlignment="1">
      <alignment horizontal="right" vertical="center" wrapText="1"/>
    </xf>
    <xf numFmtId="175" fontId="28" fillId="0" borderId="0" xfId="0" applyNumberFormat="1" applyFont="1" applyAlignment="1">
      <alignment horizontal="right" vertical="center" wrapText="1"/>
    </xf>
    <xf numFmtId="174" fontId="0" fillId="0" borderId="0" xfId="0" applyNumberFormat="1"/>
    <xf numFmtId="0" fontId="25" fillId="0" borderId="18" xfId="0" applyFont="1" applyFill="1" applyBorder="1" applyAlignment="1">
      <alignment horizontal="left" vertical="center"/>
    </xf>
    <xf numFmtId="9" fontId="25" fillId="0" borderId="1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174" fontId="25" fillId="0" borderId="1" xfId="0" applyNumberFormat="1" applyFont="1" applyBorder="1" applyAlignment="1">
      <alignment horizontal="right" vertical="center"/>
    </xf>
    <xf numFmtId="0" fontId="0" fillId="0" borderId="0" xfId="0" applyFill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7" fontId="0" fillId="0" borderId="0" xfId="0" applyNumberFormat="1" applyFill="1"/>
    <xf numFmtId="177" fontId="0" fillId="0" borderId="0" xfId="2" applyNumberFormat="1" applyFont="1" applyFill="1"/>
    <xf numFmtId="174" fontId="25" fillId="0" borderId="1" xfId="8" applyNumberFormat="1" applyFont="1" applyBorder="1" applyAlignment="1"/>
    <xf numFmtId="0" fontId="25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8" applyFont="1"/>
    <xf numFmtId="0" fontId="3" fillId="0" borderId="11" xfId="8" applyFont="1" applyBorder="1" applyAlignment="1">
      <alignment vertical="center"/>
    </xf>
    <xf numFmtId="0" fontId="3" fillId="0" borderId="0" xfId="8" applyFont="1" applyBorder="1" applyAlignment="1">
      <alignment vertical="center"/>
    </xf>
    <xf numFmtId="0" fontId="3" fillId="0" borderId="12" xfId="8" applyFont="1" applyBorder="1" applyAlignment="1">
      <alignment vertical="center"/>
    </xf>
    <xf numFmtId="0" fontId="3" fillId="0" borderId="8" xfId="8" applyFont="1" applyBorder="1" applyAlignment="1">
      <alignment vertical="center"/>
    </xf>
    <xf numFmtId="0" fontId="3" fillId="0" borderId="9" xfId="8" applyFont="1" applyBorder="1" applyAlignment="1">
      <alignment vertical="center"/>
    </xf>
    <xf numFmtId="0" fontId="3" fillId="0" borderId="10" xfId="8" applyFont="1" applyBorder="1" applyAlignment="1">
      <alignment vertical="center"/>
    </xf>
    <xf numFmtId="0" fontId="2" fillId="0" borderId="0" xfId="8" applyFont="1" applyAlignment="1">
      <alignment horizontal="center"/>
    </xf>
    <xf numFmtId="179" fontId="3" fillId="0" borderId="0" xfId="8" applyNumberFormat="1" applyFont="1"/>
    <xf numFmtId="0" fontId="3" fillId="0" borderId="0" xfId="8" applyFont="1" applyBorder="1"/>
    <xf numFmtId="180" fontId="3" fillId="0" borderId="0" xfId="9" applyNumberFormat="1" applyFont="1" applyAlignment="1">
      <alignment horizontal="left"/>
    </xf>
    <xf numFmtId="0" fontId="30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23" fillId="0" borderId="0" xfId="8" applyFont="1" applyBorder="1" applyAlignment="1">
      <alignment horizontal="left"/>
    </xf>
    <xf numFmtId="0" fontId="3" fillId="0" borderId="0" xfId="8" applyFont="1" applyBorder="1" applyAlignment="1">
      <alignment horizontal="center"/>
    </xf>
    <xf numFmtId="0" fontId="23" fillId="0" borderId="1" xfId="8" applyFont="1" applyBorder="1" applyAlignment="1">
      <alignment horizontal="center" vertical="center"/>
    </xf>
    <xf numFmtId="174" fontId="31" fillId="0" borderId="1" xfId="8" applyNumberFormat="1" applyFont="1" applyFill="1" applyBorder="1" applyAlignment="1">
      <alignment horizontal="center" vertical="center"/>
    </xf>
    <xf numFmtId="174" fontId="31" fillId="0" borderId="1" xfId="8" applyNumberFormat="1" applyFont="1" applyFill="1" applyBorder="1" applyAlignment="1">
      <alignment vertical="center"/>
    </xf>
    <xf numFmtId="174" fontId="31" fillId="0" borderId="1" xfId="8" applyNumberFormat="1" applyFont="1" applyBorder="1" applyAlignment="1">
      <alignment horizontal="center" vertical="center"/>
    </xf>
    <xf numFmtId="174" fontId="31" fillId="0" borderId="1" xfId="8" applyNumberFormat="1" applyFont="1" applyBorder="1" applyAlignment="1">
      <alignment vertical="center"/>
    </xf>
    <xf numFmtId="0" fontId="31" fillId="0" borderId="0" xfId="8" applyFont="1" applyAlignment="1">
      <alignment vertical="center"/>
    </xf>
    <xf numFmtId="0" fontId="23" fillId="0" borderId="2" xfId="8" applyFont="1" applyBorder="1" applyAlignment="1">
      <alignment horizontal="center" vertical="center"/>
    </xf>
    <xf numFmtId="0" fontId="23" fillId="0" borderId="3" xfId="8" applyFont="1" applyBorder="1" applyAlignment="1">
      <alignment horizontal="center" vertical="center"/>
    </xf>
    <xf numFmtId="4" fontId="31" fillId="0" borderId="1" xfId="8" applyNumberFormat="1" applyFont="1" applyBorder="1" applyAlignment="1">
      <alignment vertical="center"/>
    </xf>
    <xf numFmtId="0" fontId="31" fillId="0" borderId="1" xfId="8" applyFont="1" applyBorder="1" applyAlignment="1">
      <alignment vertical="center"/>
    </xf>
    <xf numFmtId="2" fontId="31" fillId="0" borderId="1" xfId="8" applyNumberFormat="1" applyFont="1" applyBorder="1" applyAlignment="1">
      <alignment vertical="center"/>
    </xf>
    <xf numFmtId="0" fontId="23" fillId="0" borderId="1" xfId="8" applyFont="1" applyBorder="1" applyAlignment="1">
      <alignment vertical="center"/>
    </xf>
    <xf numFmtId="0" fontId="23" fillId="0" borderId="3" xfId="8" applyFont="1" applyBorder="1" applyAlignment="1">
      <alignment vertical="center"/>
    </xf>
    <xf numFmtId="0" fontId="3" fillId="0" borderId="0" xfId="8" applyFont="1" applyAlignment="1">
      <alignment horizontal="center"/>
    </xf>
    <xf numFmtId="9" fontId="31" fillId="0" borderId="1" xfId="8" applyNumberFormat="1" applyFont="1" applyBorder="1" applyAlignment="1">
      <alignment horizontal="center" vertical="center"/>
    </xf>
    <xf numFmtId="0" fontId="31" fillId="0" borderId="1" xfId="8" applyFont="1" applyBorder="1" applyAlignment="1">
      <alignment horizontal="center" vertical="center"/>
    </xf>
    <xf numFmtId="180" fontId="3" fillId="0" borderId="0" xfId="9" applyNumberFormat="1" applyFont="1"/>
    <xf numFmtId="180" fontId="11" fillId="0" borderId="0" xfId="9" applyNumberFormat="1" applyFont="1"/>
    <xf numFmtId="1" fontId="31" fillId="0" borderId="1" xfId="8" applyNumberFormat="1" applyFont="1" applyBorder="1" applyAlignment="1">
      <alignment horizontal="center" vertical="center"/>
    </xf>
    <xf numFmtId="0" fontId="3" fillId="0" borderId="0" xfId="11" applyFont="1"/>
    <xf numFmtId="0" fontId="3" fillId="0" borderId="11" xfId="11" applyFont="1" applyBorder="1" applyAlignment="1">
      <alignment vertical="center"/>
    </xf>
    <xf numFmtId="0" fontId="3" fillId="0" borderId="0" xfId="11" applyFont="1" applyBorder="1" applyAlignment="1">
      <alignment vertical="center"/>
    </xf>
    <xf numFmtId="179" fontId="3" fillId="0" borderId="0" xfId="11" applyNumberFormat="1" applyFont="1" applyBorder="1" applyAlignment="1">
      <alignment vertical="center"/>
    </xf>
    <xf numFmtId="0" fontId="3" fillId="0" borderId="12" xfId="11" applyFont="1" applyBorder="1" applyAlignment="1">
      <alignment vertical="center"/>
    </xf>
    <xf numFmtId="0" fontId="3" fillId="0" borderId="8" xfId="11" applyFont="1" applyBorder="1" applyAlignment="1">
      <alignment vertical="center"/>
    </xf>
    <xf numFmtId="0" fontId="3" fillId="0" borderId="9" xfId="11" applyFont="1" applyBorder="1" applyAlignment="1">
      <alignment vertical="center"/>
    </xf>
    <xf numFmtId="0" fontId="3" fillId="0" borderId="10" xfId="11" applyFont="1" applyBorder="1" applyAlignment="1">
      <alignment vertical="center"/>
    </xf>
    <xf numFmtId="0" fontId="2" fillId="0" borderId="0" xfId="11" applyFont="1" applyAlignment="1">
      <alignment horizontal="center" vertical="center"/>
    </xf>
    <xf numFmtId="179" fontId="2" fillId="0" borderId="0" xfId="11" applyNumberFormat="1" applyFont="1" applyAlignment="1">
      <alignment horizontal="center" vertical="center"/>
    </xf>
    <xf numFmtId="0" fontId="3" fillId="0" borderId="0" xfId="11" applyFont="1" applyBorder="1"/>
    <xf numFmtId="0" fontId="30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/>
    </xf>
    <xf numFmtId="0" fontId="23" fillId="0" borderId="0" xfId="11" applyFont="1" applyBorder="1" applyAlignment="1">
      <alignment horizontal="center" vertical="center"/>
    </xf>
    <xf numFmtId="0" fontId="3" fillId="0" borderId="0" xfId="11" applyFont="1" applyBorder="1" applyAlignment="1">
      <alignment horizontal="center" vertical="center"/>
    </xf>
    <xf numFmtId="0" fontId="30" fillId="0" borderId="0" xfId="11" applyFont="1" applyAlignment="1">
      <alignment horizontal="left" vertical="center"/>
    </xf>
    <xf numFmtId="0" fontId="23" fillId="0" borderId="1" xfId="11" applyFont="1" applyBorder="1" applyAlignment="1">
      <alignment horizontal="center" vertical="center"/>
    </xf>
    <xf numFmtId="0" fontId="31" fillId="0" borderId="1" xfId="11" applyFont="1" applyBorder="1" applyAlignment="1">
      <alignment horizontal="center" vertical="center"/>
    </xf>
    <xf numFmtId="174" fontId="31" fillId="0" borderId="1" xfId="11" applyNumberFormat="1" applyFont="1" applyBorder="1" applyAlignment="1">
      <alignment vertical="center"/>
    </xf>
    <xf numFmtId="0" fontId="31" fillId="0" borderId="1" xfId="12" applyFont="1" applyBorder="1" applyAlignment="1">
      <alignment horizontal="center" vertical="center"/>
    </xf>
    <xf numFmtId="9" fontId="31" fillId="0" borderId="1" xfId="10" applyFont="1" applyBorder="1" applyAlignment="1">
      <alignment vertical="center"/>
    </xf>
    <xf numFmtId="0" fontId="31" fillId="0" borderId="0" xfId="11" applyFont="1" applyAlignment="1">
      <alignment horizontal="center" vertical="center"/>
    </xf>
    <xf numFmtId="0" fontId="23" fillId="0" borderId="3" xfId="11" applyFont="1" applyBorder="1" applyAlignment="1">
      <alignment horizontal="center" vertical="center"/>
    </xf>
    <xf numFmtId="0" fontId="23" fillId="0" borderId="2" xfId="11" applyFont="1" applyBorder="1" applyAlignment="1">
      <alignment horizontal="center" vertical="center"/>
    </xf>
    <xf numFmtId="174" fontId="31" fillId="0" borderId="1" xfId="11" applyNumberFormat="1" applyFont="1" applyBorder="1" applyAlignment="1">
      <alignment horizontal="center" vertical="center"/>
    </xf>
    <xf numFmtId="10" fontId="31" fillId="0" borderId="1" xfId="11" applyNumberFormat="1" applyFont="1" applyBorder="1" applyAlignment="1">
      <alignment horizontal="center" vertical="center"/>
    </xf>
    <xf numFmtId="0" fontId="3" fillId="0" borderId="0" xfId="11" applyFont="1" applyAlignment="1">
      <alignment horizontal="right" vertical="center" indent="2"/>
    </xf>
    <xf numFmtId="0" fontId="2" fillId="0" borderId="0" xfId="8" applyFont="1" applyAlignment="1">
      <alignment horizontal="center" vertical="center"/>
    </xf>
    <xf numFmtId="0" fontId="31" fillId="0" borderId="1" xfId="13" applyFont="1" applyBorder="1" applyAlignment="1">
      <alignment horizontal="center"/>
    </xf>
    <xf numFmtId="180" fontId="4" fillId="0" borderId="0" xfId="9" applyNumberFormat="1" applyFont="1" applyAlignment="1">
      <alignment horizontal="left"/>
    </xf>
    <xf numFmtId="0" fontId="4" fillId="0" borderId="0" xfId="8" applyFont="1" applyAlignment="1">
      <alignment horizontal="center"/>
    </xf>
    <xf numFmtId="2" fontId="31" fillId="0" borderId="1" xfId="8" applyNumberFormat="1" applyFont="1" applyBorder="1" applyAlignment="1">
      <alignment horizontal="center" vertical="center" wrapText="1"/>
    </xf>
    <xf numFmtId="180" fontId="4" fillId="0" borderId="0" xfId="9" applyNumberFormat="1" applyFont="1"/>
    <xf numFmtId="2" fontId="31" fillId="0" borderId="1" xfId="8" applyNumberFormat="1" applyFont="1" applyBorder="1" applyAlignment="1">
      <alignment horizontal="center" vertical="center"/>
    </xf>
    <xf numFmtId="0" fontId="3" fillId="0" borderId="0" xfId="8" applyFont="1" applyAlignment="1">
      <alignment horizontal="right" indent="2"/>
    </xf>
    <xf numFmtId="2" fontId="31" fillId="0" borderId="1" xfId="8" applyNumberFormat="1" applyFont="1" applyBorder="1" applyAlignment="1">
      <alignment horizontal="right" vertical="center" wrapText="1" indent="2"/>
    </xf>
    <xf numFmtId="2" fontId="31" fillId="0" borderId="1" xfId="8" applyNumberFormat="1" applyFont="1" applyBorder="1" applyAlignment="1">
      <alignment horizontal="right" vertical="center" indent="2"/>
    </xf>
    <xf numFmtId="0" fontId="3" fillId="0" borderId="0" xfId="8" applyFont="1" applyAlignment="1">
      <alignment horizontal="right" vertical="center" indent="2"/>
    </xf>
    <xf numFmtId="174" fontId="31" fillId="8" borderId="1" xfId="8" applyNumberFormat="1" applyFont="1" applyFill="1" applyBorder="1" applyAlignment="1">
      <alignment vertical="center"/>
    </xf>
    <xf numFmtId="0" fontId="30" fillId="0" borderId="0" xfId="8" applyFont="1"/>
    <xf numFmtId="0" fontId="3" fillId="0" borderId="0" xfId="8" applyFont="1" applyAlignment="1">
      <alignment horizontal="right" vertical="center" indent="3"/>
    </xf>
    <xf numFmtId="0" fontId="3" fillId="0" borderId="0" xfId="14" applyFont="1"/>
    <xf numFmtId="0" fontId="3" fillId="0" borderId="11" xfId="14" applyFont="1" applyBorder="1" applyAlignment="1">
      <alignment vertical="center"/>
    </xf>
    <xf numFmtId="0" fontId="3" fillId="0" borderId="0" xfId="14" applyFont="1" applyBorder="1" applyAlignment="1">
      <alignment vertical="center"/>
    </xf>
    <xf numFmtId="0" fontId="3" fillId="0" borderId="12" xfId="14" applyFont="1" applyBorder="1" applyAlignment="1">
      <alignment vertical="center"/>
    </xf>
    <xf numFmtId="0" fontId="3" fillId="0" borderId="8" xfId="14" applyFont="1" applyBorder="1" applyAlignment="1">
      <alignment vertical="center"/>
    </xf>
    <xf numFmtId="0" fontId="3" fillId="0" borderId="9" xfId="14" applyFont="1" applyBorder="1" applyAlignment="1">
      <alignment vertical="center"/>
    </xf>
    <xf numFmtId="0" fontId="3" fillId="0" borderId="10" xfId="14" applyFont="1" applyBorder="1" applyAlignment="1">
      <alignment vertical="center"/>
    </xf>
    <xf numFmtId="0" fontId="2" fillId="0" borderId="0" xfId="14" applyFont="1" applyAlignment="1">
      <alignment horizontal="center" vertical="center"/>
    </xf>
    <xf numFmtId="0" fontId="3" fillId="0" borderId="0" xfId="14" applyFont="1" applyBorder="1"/>
    <xf numFmtId="0" fontId="30" fillId="0" borderId="0" xfId="14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23" fillId="0" borderId="0" xfId="14" applyFont="1" applyBorder="1" applyAlignment="1">
      <alignment horizontal="center" vertical="center"/>
    </xf>
    <xf numFmtId="0" fontId="3" fillId="0" borderId="0" xfId="14" applyFont="1" applyBorder="1" applyAlignment="1">
      <alignment horizontal="center" vertical="center"/>
    </xf>
    <xf numFmtId="0" fontId="30" fillId="0" borderId="0" xfId="14" applyFont="1" applyAlignment="1">
      <alignment horizontal="left" vertical="center"/>
    </xf>
    <xf numFmtId="0" fontId="23" fillId="0" borderId="1" xfId="14" applyFont="1" applyBorder="1" applyAlignment="1">
      <alignment horizontal="center" vertical="center"/>
    </xf>
    <xf numFmtId="0" fontId="31" fillId="0" borderId="1" xfId="14" applyFont="1" applyBorder="1" applyAlignment="1">
      <alignment horizontal="center" vertical="center"/>
    </xf>
    <xf numFmtId="174" fontId="31" fillId="0" borderId="1" xfId="14" applyNumberFormat="1" applyFont="1" applyBorder="1" applyAlignment="1">
      <alignment vertical="center"/>
    </xf>
    <xf numFmtId="0" fontId="31" fillId="0" borderId="1" xfId="15" applyFont="1" applyBorder="1" applyAlignment="1">
      <alignment horizontal="center" vertical="center"/>
    </xf>
    <xf numFmtId="0" fontId="31" fillId="0" borderId="0" xfId="14" applyFont="1" applyAlignment="1">
      <alignment horizontal="center" vertical="center"/>
    </xf>
    <xf numFmtId="0" fontId="23" fillId="0" borderId="3" xfId="14" applyFont="1" applyBorder="1" applyAlignment="1">
      <alignment horizontal="center" vertical="center"/>
    </xf>
    <xf numFmtId="0" fontId="23" fillId="0" borderId="2" xfId="14" applyFont="1" applyBorder="1" applyAlignment="1">
      <alignment horizontal="center" vertical="center"/>
    </xf>
    <xf numFmtId="174" fontId="31" fillId="0" borderId="1" xfId="14" applyNumberFormat="1" applyFont="1" applyBorder="1" applyAlignment="1">
      <alignment horizontal="center" vertical="center"/>
    </xf>
    <xf numFmtId="10" fontId="31" fillId="0" borderId="1" xfId="14" applyNumberFormat="1" applyFont="1" applyBorder="1" applyAlignment="1">
      <alignment horizontal="center" vertical="center"/>
    </xf>
    <xf numFmtId="0" fontId="3" fillId="0" borderId="0" xfId="14" applyFont="1" applyAlignment="1">
      <alignment horizontal="right" vertical="center" indent="2"/>
    </xf>
    <xf numFmtId="4" fontId="31" fillId="0" borderId="1" xfId="8" applyNumberFormat="1" applyFont="1" applyFill="1" applyBorder="1" applyAlignment="1">
      <alignment vertical="center"/>
    </xf>
    <xf numFmtId="0" fontId="31" fillId="0" borderId="1" xfId="8" applyFont="1" applyFill="1" applyBorder="1" applyAlignment="1">
      <alignment vertical="center"/>
    </xf>
    <xf numFmtId="2" fontId="31" fillId="0" borderId="1" xfId="8" applyNumberFormat="1" applyFont="1" applyFill="1" applyBorder="1" applyAlignment="1">
      <alignment vertical="center"/>
    </xf>
    <xf numFmtId="184" fontId="31" fillId="0" borderId="1" xfId="8" applyNumberFormat="1" applyFont="1" applyFill="1" applyBorder="1" applyAlignment="1">
      <alignment vertical="center"/>
    </xf>
    <xf numFmtId="174" fontId="31" fillId="6" borderId="1" xfId="8" applyNumberFormat="1" applyFont="1" applyFill="1" applyBorder="1" applyAlignment="1">
      <alignment horizontal="center" vertical="center"/>
    </xf>
    <xf numFmtId="0" fontId="3" fillId="6" borderId="0" xfId="8" applyFont="1" applyFill="1" applyAlignment="1">
      <alignment vertical="center"/>
    </xf>
    <xf numFmtId="0" fontId="3" fillId="6" borderId="0" xfId="8" applyFont="1" applyFill="1"/>
    <xf numFmtId="0" fontId="23" fillId="6" borderId="0" xfId="8" applyFont="1" applyFill="1" applyBorder="1" applyAlignment="1">
      <alignment horizontal="left"/>
    </xf>
    <xf numFmtId="0" fontId="3" fillId="6" borderId="0" xfId="8" applyFont="1" applyFill="1" applyBorder="1" applyAlignment="1">
      <alignment horizontal="center"/>
    </xf>
    <xf numFmtId="0" fontId="30" fillId="6" borderId="0" xfId="8" applyFont="1" applyFill="1" applyAlignment="1">
      <alignment vertical="center"/>
    </xf>
    <xf numFmtId="0" fontId="23" fillId="6" borderId="1" xfId="8" applyFont="1" applyFill="1" applyBorder="1" applyAlignment="1">
      <alignment horizontal="center" vertical="center"/>
    </xf>
    <xf numFmtId="174" fontId="31" fillId="6" borderId="1" xfId="8" applyNumberFormat="1" applyFont="1" applyFill="1" applyBorder="1" applyAlignment="1">
      <alignment vertical="center"/>
    </xf>
    <xf numFmtId="9" fontId="31" fillId="0" borderId="1" xfId="10" applyFont="1" applyBorder="1" applyAlignment="1">
      <alignment horizontal="center" vertical="center"/>
    </xf>
    <xf numFmtId="9" fontId="31" fillId="6" borderId="1" xfId="8" applyNumberFormat="1" applyFont="1" applyFill="1" applyBorder="1" applyAlignment="1">
      <alignment horizontal="center" vertical="center"/>
    </xf>
    <xf numFmtId="1" fontId="31" fillId="6" borderId="1" xfId="8" applyNumberFormat="1" applyFont="1" applyFill="1" applyBorder="1" applyAlignment="1">
      <alignment horizontal="center" vertical="center"/>
    </xf>
    <xf numFmtId="179" fontId="3" fillId="0" borderId="0" xfId="8" applyNumberFormat="1" applyFont="1" applyAlignment="1">
      <alignment vertical="center"/>
    </xf>
    <xf numFmtId="0" fontId="23" fillId="0" borderId="19" xfId="8" applyFont="1" applyBorder="1" applyAlignment="1">
      <alignment vertical="center" wrapText="1"/>
    </xf>
    <xf numFmtId="0" fontId="23" fillId="0" borderId="19" xfId="8" applyFont="1" applyBorder="1" applyAlignment="1">
      <alignment horizontal="center" vertical="center" wrapText="1"/>
    </xf>
    <xf numFmtId="0" fontId="23" fillId="0" borderId="0" xfId="8" applyFont="1" applyBorder="1" applyAlignment="1">
      <alignment horizontal="left" vertical="center"/>
    </xf>
    <xf numFmtId="0" fontId="3" fillId="0" borderId="0" xfId="8" applyFont="1" applyBorder="1" applyAlignment="1">
      <alignment horizontal="center" vertical="center"/>
    </xf>
    <xf numFmtId="178" fontId="3" fillId="0" borderId="0" xfId="8" applyNumberFormat="1" applyFont="1" applyAlignment="1">
      <alignment horizontal="left" vertical="center" indent="7"/>
    </xf>
    <xf numFmtId="184" fontId="31" fillId="0" borderId="1" xfId="8" applyNumberFormat="1" applyFont="1" applyBorder="1" applyAlignment="1">
      <alignment vertical="center"/>
    </xf>
    <xf numFmtId="171" fontId="31" fillId="0" borderId="1" xfId="8" applyNumberFormat="1" applyFont="1" applyBorder="1" applyAlignment="1">
      <alignment vertical="center"/>
    </xf>
    <xf numFmtId="1" fontId="31" fillId="0" borderId="1" xfId="8" applyNumberFormat="1" applyFont="1" applyBorder="1" applyAlignment="1">
      <alignment vertical="center"/>
    </xf>
    <xf numFmtId="0" fontId="3" fillId="0" borderId="0" xfId="12" applyFont="1" applyBorder="1"/>
    <xf numFmtId="0" fontId="3" fillId="0" borderId="0" xfId="12" applyFont="1"/>
    <xf numFmtId="0" fontId="30" fillId="0" borderId="0" xfId="12" applyFont="1" applyAlignment="1">
      <alignment horizontal="center" vertical="center"/>
    </xf>
    <xf numFmtId="0" fontId="3" fillId="0" borderId="0" xfId="12" applyFont="1" applyAlignment="1">
      <alignment horizontal="center" vertical="center"/>
    </xf>
    <xf numFmtId="0" fontId="23" fillId="0" borderId="0" xfId="12" applyFont="1" applyBorder="1" applyAlignment="1">
      <alignment horizontal="center" vertical="center"/>
    </xf>
    <xf numFmtId="0" fontId="3" fillId="0" borderId="0" xfId="12" applyFont="1" applyBorder="1" applyAlignment="1">
      <alignment horizontal="center" vertical="center"/>
    </xf>
    <xf numFmtId="0" fontId="30" fillId="0" borderId="0" xfId="12" applyFont="1" applyAlignment="1">
      <alignment horizontal="left" vertical="center"/>
    </xf>
    <xf numFmtId="0" fontId="23" fillId="0" borderId="1" xfId="12" applyFont="1" applyBorder="1" applyAlignment="1">
      <alignment horizontal="center" vertical="center"/>
    </xf>
    <xf numFmtId="0" fontId="31" fillId="0" borderId="1" xfId="12" applyFont="1" applyBorder="1" applyAlignment="1">
      <alignment horizontal="left" vertical="center"/>
    </xf>
    <xf numFmtId="0" fontId="31" fillId="0" borderId="18" xfId="8" applyFont="1" applyFill="1" applyBorder="1" applyAlignment="1">
      <alignment horizontal="left" vertical="center"/>
    </xf>
    <xf numFmtId="174" fontId="31" fillId="0" borderId="1" xfId="12" applyNumberFormat="1" applyFont="1" applyBorder="1" applyAlignment="1">
      <alignment horizontal="right" vertical="center"/>
    </xf>
    <xf numFmtId="0" fontId="31" fillId="0" borderId="0" xfId="12" applyFont="1" applyAlignment="1">
      <alignment horizontal="center" vertical="center"/>
    </xf>
    <xf numFmtId="0" fontId="23" fillId="0" borderId="3" xfId="12" applyFont="1" applyBorder="1" applyAlignment="1">
      <alignment horizontal="center" vertical="center"/>
    </xf>
    <xf numFmtId="0" fontId="23" fillId="0" borderId="2" xfId="12" applyFont="1" applyBorder="1" applyAlignment="1">
      <alignment horizontal="center" vertical="center"/>
    </xf>
    <xf numFmtId="174" fontId="31" fillId="0" borderId="1" xfId="12" applyNumberFormat="1" applyFont="1" applyBorder="1" applyAlignment="1">
      <alignment horizontal="center" vertical="center"/>
    </xf>
    <xf numFmtId="10" fontId="31" fillId="0" borderId="1" xfId="12" applyNumberFormat="1" applyFont="1" applyBorder="1" applyAlignment="1">
      <alignment horizontal="center" vertical="center"/>
    </xf>
    <xf numFmtId="174" fontId="3" fillId="0" borderId="0" xfId="12" applyNumberFormat="1" applyFont="1" applyAlignment="1">
      <alignment horizontal="right" vertical="center" indent="2"/>
    </xf>
    <xf numFmtId="0" fontId="3" fillId="0" borderId="0" xfId="8" applyFont="1" applyFill="1"/>
    <xf numFmtId="44" fontId="3" fillId="0" borderId="0" xfId="16" applyFont="1"/>
    <xf numFmtId="0" fontId="23" fillId="6" borderId="19" xfId="8" applyFont="1" applyFill="1" applyBorder="1" applyAlignment="1">
      <alignment vertical="center" wrapText="1"/>
    </xf>
    <xf numFmtId="185" fontId="0" fillId="0" borderId="0" xfId="0" applyNumberFormat="1"/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69" fontId="3" fillId="4" borderId="1" xfId="6" applyNumberFormat="1" applyFont="1" applyFill="1" applyBorder="1" applyAlignment="1">
      <alignment horizontal="center" vertical="center" wrapText="1"/>
    </xf>
    <xf numFmtId="169" fontId="3" fillId="6" borderId="1" xfId="6" applyNumberFormat="1" applyFont="1" applyFill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174" fontId="35" fillId="0" borderId="0" xfId="8" applyNumberFormat="1" applyFont="1"/>
    <xf numFmtId="174" fontId="34" fillId="0" borderId="0" xfId="0" applyNumberFormat="1" applyFont="1"/>
    <xf numFmtId="178" fontId="34" fillId="0" borderId="0" xfId="0" applyNumberFormat="1" applyFont="1"/>
    <xf numFmtId="0" fontId="34" fillId="0" borderId="0" xfId="0" applyFont="1"/>
    <xf numFmtId="0" fontId="2" fillId="0" borderId="1" xfId="0" applyFont="1" applyFill="1" applyBorder="1" applyAlignment="1">
      <alignment horizontal="left" vertical="center"/>
    </xf>
    <xf numFmtId="180" fontId="3" fillId="0" borderId="1" xfId="3" applyNumberFormat="1" applyFont="1" applyFill="1" applyBorder="1" applyAlignment="1">
      <alignment horizontal="center" vertical="center" wrapText="1"/>
    </xf>
    <xf numFmtId="180" fontId="3" fillId="4" borderId="1" xfId="6" applyNumberFormat="1" applyFont="1" applyFill="1" applyBorder="1" applyAlignment="1">
      <alignment horizontal="right" vertical="center" wrapText="1"/>
    </xf>
    <xf numFmtId="180" fontId="2" fillId="0" borderId="1" xfId="3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4" fontId="3" fillId="6" borderId="1" xfId="4" applyNumberFormat="1" applyFont="1" applyFill="1" applyBorder="1" applyAlignment="1">
      <alignment horizontal="center" vertical="center"/>
    </xf>
    <xf numFmtId="170" fontId="3" fillId="6" borderId="1" xfId="5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7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4" xfId="0" applyBorder="1"/>
    <xf numFmtId="0" fontId="0" fillId="0" borderId="21" xfId="0" applyBorder="1" applyAlignment="1">
      <alignment horizontal="center"/>
    </xf>
    <xf numFmtId="0" fontId="24" fillId="0" borderId="4" xfId="0" applyFont="1" applyBorder="1"/>
    <xf numFmtId="0" fontId="0" fillId="0" borderId="21" xfId="0" applyBorder="1"/>
    <xf numFmtId="174" fontId="25" fillId="0" borderId="1" xfId="12" applyNumberFormat="1" applyFont="1" applyBorder="1" applyAlignment="1">
      <alignment horizontal="center" vertical="center"/>
    </xf>
    <xf numFmtId="0" fontId="25" fillId="0" borderId="4" xfId="0" applyFont="1" applyBorder="1"/>
    <xf numFmtId="0" fontId="25" fillId="0" borderId="0" xfId="0" applyFont="1" applyBorder="1"/>
    <xf numFmtId="177" fontId="0" fillId="0" borderId="0" xfId="0" applyNumberFormat="1"/>
    <xf numFmtId="43" fontId="0" fillId="0" borderId="0" xfId="1" applyFont="1"/>
    <xf numFmtId="0" fontId="14" fillId="8" borderId="0" xfId="0" applyFont="1" applyFill="1" applyAlignment="1">
      <alignment horizontal="center" vertical="center"/>
    </xf>
    <xf numFmtId="0" fontId="5" fillId="3" borderId="1" xfId="8" applyFont="1" applyFill="1" applyBorder="1" applyAlignment="1">
      <alignment vertical="center"/>
    </xf>
    <xf numFmtId="169" fontId="6" fillId="7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5" fontId="2" fillId="0" borderId="1" xfId="7" applyFont="1" applyFill="1" applyBorder="1" applyAlignment="1">
      <alignment horizontal="center" vertical="center"/>
    </xf>
    <xf numFmtId="169" fontId="2" fillId="0" borderId="1" xfId="6" applyNumberFormat="1" applyFont="1" applyFill="1" applyBorder="1" applyAlignment="1">
      <alignment horizontal="right" vertical="center" wrapText="1"/>
    </xf>
    <xf numFmtId="9" fontId="6" fillId="7" borderId="1" xfId="18" applyFont="1" applyFill="1" applyBorder="1" applyAlignment="1">
      <alignment vertical="center"/>
    </xf>
    <xf numFmtId="180" fontId="3" fillId="6" borderId="0" xfId="0" applyNumberFormat="1" applyFont="1" applyFill="1" applyAlignment="1">
      <alignment vertical="center"/>
    </xf>
    <xf numFmtId="0" fontId="36" fillId="6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3" fontId="12" fillId="6" borderId="1" xfId="1" applyNumberFormat="1" applyFont="1" applyFill="1" applyBorder="1" applyAlignment="1">
      <alignment horizontal="center" vertical="center"/>
    </xf>
    <xf numFmtId="180" fontId="3" fillId="6" borderId="1" xfId="3" applyNumberFormat="1" applyFont="1" applyFill="1" applyBorder="1" applyAlignment="1">
      <alignment horizontal="center" vertical="center" wrapText="1"/>
    </xf>
    <xf numFmtId="186" fontId="3" fillId="6" borderId="0" xfId="2" applyNumberFormat="1" applyFont="1" applyFill="1" applyAlignment="1">
      <alignment vertical="center"/>
    </xf>
    <xf numFmtId="169" fontId="36" fillId="6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86" fontId="37" fillId="6" borderId="0" xfId="2" applyNumberFormat="1" applyFont="1" applyFill="1" applyAlignment="1">
      <alignment vertical="center"/>
    </xf>
    <xf numFmtId="0" fontId="37" fillId="6" borderId="0" xfId="0" applyFont="1" applyFill="1" applyAlignment="1">
      <alignment vertical="center"/>
    </xf>
    <xf numFmtId="169" fontId="37" fillId="6" borderId="0" xfId="0" applyNumberFormat="1" applyFont="1" applyFill="1" applyAlignment="1">
      <alignment vertical="center"/>
    </xf>
    <xf numFmtId="164" fontId="36" fillId="6" borderId="0" xfId="3" applyFont="1" applyFill="1" applyAlignment="1">
      <alignment vertical="center"/>
    </xf>
    <xf numFmtId="186" fontId="36" fillId="6" borderId="0" xfId="2" applyNumberFormat="1" applyFont="1" applyFill="1" applyAlignment="1">
      <alignment vertical="center"/>
    </xf>
    <xf numFmtId="172" fontId="36" fillId="6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5" fillId="3" borderId="1" xfId="8" applyFont="1" applyFill="1" applyBorder="1" applyAlignment="1">
      <alignment vertical="center"/>
    </xf>
    <xf numFmtId="169" fontId="6" fillId="7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 wrapText="1"/>
    </xf>
    <xf numFmtId="0" fontId="14" fillId="8" borderId="0" xfId="0" applyFont="1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164" fontId="2" fillId="0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 shrinkToFit="1"/>
    </xf>
    <xf numFmtId="0" fontId="14" fillId="8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7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/>
    </xf>
    <xf numFmtId="174" fontId="25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174" fontId="2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2" fillId="0" borderId="1" xfId="0" applyFont="1" applyBorder="1" applyAlignment="1">
      <alignment horizontal="left"/>
    </xf>
    <xf numFmtId="174" fontId="25" fillId="0" borderId="1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74" fontId="25" fillId="0" borderId="2" xfId="0" applyNumberFormat="1" applyFont="1" applyBorder="1" applyAlignment="1">
      <alignment horizontal="center" vertical="center"/>
    </xf>
    <xf numFmtId="174" fontId="25" fillId="0" borderId="3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wrapText="1"/>
    </xf>
    <xf numFmtId="0" fontId="25" fillId="0" borderId="3" xfId="0" applyFont="1" applyBorder="1" applyAlignment="1">
      <alignment horizontal="left" wrapText="1"/>
    </xf>
    <xf numFmtId="2" fontId="25" fillId="0" borderId="2" xfId="0" applyNumberFormat="1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9" fontId="25" fillId="0" borderId="1" xfId="0" applyNumberFormat="1" applyFont="1" applyBorder="1" applyAlignment="1">
      <alignment horizontal="center"/>
    </xf>
    <xf numFmtId="0" fontId="25" fillId="0" borderId="3" xfId="0" applyFont="1" applyBorder="1" applyAlignment="1">
      <alignment horizontal="left" vertical="center" wrapText="1"/>
    </xf>
    <xf numFmtId="13" fontId="25" fillId="0" borderId="2" xfId="0" applyNumberFormat="1" applyFont="1" applyBorder="1" applyAlignment="1">
      <alignment horizontal="center" vertical="center" wrapText="1"/>
    </xf>
    <xf numFmtId="13" fontId="25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5" xfId="0" applyFont="1" applyFill="1" applyBorder="1" applyAlignment="1">
      <alignment horizontal="left" vertical="center" wrapText="1" shrinkToFi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2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5" fillId="0" borderId="1" xfId="8" applyFont="1" applyBorder="1" applyAlignment="1">
      <alignment horizontal="left" vertical="center"/>
    </xf>
    <xf numFmtId="174" fontId="25" fillId="0" borderId="1" xfId="8" applyNumberFormat="1" applyFont="1" applyBorder="1" applyAlignment="1">
      <alignment horizontal="center" vertical="center"/>
    </xf>
    <xf numFmtId="0" fontId="22" fillId="0" borderId="1" xfId="8" applyFont="1" applyBorder="1" applyAlignment="1">
      <alignment horizontal="left" vertical="center"/>
    </xf>
    <xf numFmtId="0" fontId="21" fillId="0" borderId="1" xfId="8" applyFont="1" applyBorder="1" applyAlignment="1">
      <alignment horizontal="left" vertical="center"/>
    </xf>
    <xf numFmtId="174" fontId="21" fillId="0" borderId="1" xfId="8" applyNumberFormat="1" applyFont="1" applyBorder="1" applyAlignment="1">
      <alignment horizontal="center" vertical="center"/>
    </xf>
    <xf numFmtId="0" fontId="22" fillId="0" borderId="1" xfId="8" applyFont="1" applyBorder="1" applyAlignment="1">
      <alignment horizontal="center" vertical="center"/>
    </xf>
    <xf numFmtId="0" fontId="25" fillId="0" borderId="2" xfId="8" applyFont="1" applyBorder="1" applyAlignment="1">
      <alignment horizontal="left" vertical="center"/>
    </xf>
    <xf numFmtId="0" fontId="25" fillId="0" borderId="3" xfId="8" applyFont="1" applyBorder="1" applyAlignment="1">
      <alignment horizontal="left" vertical="center"/>
    </xf>
    <xf numFmtId="2" fontId="25" fillId="0" borderId="1" xfId="0" applyNumberFormat="1" applyFont="1" applyBorder="1" applyAlignment="1">
      <alignment horizontal="center"/>
    </xf>
    <xf numFmtId="174" fontId="25" fillId="0" borderId="2" xfId="8" applyNumberFormat="1" applyFont="1" applyBorder="1" applyAlignment="1">
      <alignment horizontal="center" vertical="center"/>
    </xf>
    <xf numFmtId="174" fontId="25" fillId="0" borderId="3" xfId="8" applyNumberFormat="1" applyFont="1" applyBorder="1" applyAlignment="1">
      <alignment horizontal="center" vertical="center"/>
    </xf>
    <xf numFmtId="0" fontId="25" fillId="0" borderId="2" xfId="8" applyFont="1" applyBorder="1" applyAlignment="1">
      <alignment horizontal="left" vertical="center" wrapText="1"/>
    </xf>
    <xf numFmtId="0" fontId="25" fillId="0" borderId="3" xfId="8" applyFont="1" applyBorder="1" applyAlignment="1">
      <alignment horizontal="left" vertical="center" wrapText="1"/>
    </xf>
    <xf numFmtId="0" fontId="25" fillId="0" borderId="2" xfId="8" applyFont="1" applyBorder="1" applyAlignment="1">
      <alignment horizontal="center" vertical="center"/>
    </xf>
    <xf numFmtId="0" fontId="25" fillId="0" borderId="3" xfId="8" applyFont="1" applyBorder="1" applyAlignment="1">
      <alignment horizontal="center" vertical="center"/>
    </xf>
    <xf numFmtId="9" fontId="25" fillId="0" borderId="1" xfId="8" applyNumberFormat="1" applyFont="1" applyBorder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1" xfId="8" applyNumberFormat="1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22" fillId="0" borderId="15" xfId="8" applyFont="1" applyBorder="1" applyAlignment="1">
      <alignment vertical="center" wrapText="1"/>
    </xf>
    <xf numFmtId="0" fontId="4" fillId="0" borderId="16" xfId="8" applyBorder="1" applyAlignment="1">
      <alignment vertical="center" wrapText="1"/>
    </xf>
    <xf numFmtId="0" fontId="22" fillId="0" borderId="5" xfId="8" applyFont="1" applyBorder="1" applyAlignment="1">
      <alignment horizontal="left" vertical="center" wrapText="1"/>
    </xf>
    <xf numFmtId="0" fontId="22" fillId="0" borderId="6" xfId="8" applyFont="1" applyBorder="1" applyAlignment="1">
      <alignment horizontal="left" vertical="center" wrapText="1"/>
    </xf>
    <xf numFmtId="0" fontId="22" fillId="0" borderId="7" xfId="8" applyFont="1" applyBorder="1" applyAlignment="1">
      <alignment horizontal="left" vertical="center" wrapText="1"/>
    </xf>
    <xf numFmtId="0" fontId="4" fillId="0" borderId="8" xfId="8" applyBorder="1" applyAlignment="1">
      <alignment vertical="center" wrapText="1"/>
    </xf>
    <xf numFmtId="0" fontId="4" fillId="0" borderId="9" xfId="8" applyBorder="1" applyAlignment="1">
      <alignment vertical="center" wrapText="1"/>
    </xf>
    <xf numFmtId="0" fontId="4" fillId="0" borderId="10" xfId="8" applyBorder="1" applyAlignment="1">
      <alignment vertical="center" wrapText="1"/>
    </xf>
    <xf numFmtId="0" fontId="22" fillId="0" borderId="15" xfId="8" applyFont="1" applyBorder="1" applyAlignment="1">
      <alignment horizontal="center" vertical="center" wrapText="1"/>
    </xf>
    <xf numFmtId="0" fontId="4" fillId="0" borderId="16" xfId="8" applyBorder="1" applyAlignment="1">
      <alignment horizontal="center" vertical="center" wrapText="1"/>
    </xf>
    <xf numFmtId="0" fontId="4" fillId="0" borderId="5" xfId="8" applyBorder="1" applyAlignment="1">
      <alignment wrapText="1"/>
    </xf>
    <xf numFmtId="0" fontId="4" fillId="0" borderId="7" xfId="8" applyBorder="1" applyAlignment="1">
      <alignment wrapText="1"/>
    </xf>
    <xf numFmtId="0" fontId="4" fillId="0" borderId="11" xfId="8" applyBorder="1" applyAlignment="1">
      <alignment wrapText="1"/>
    </xf>
    <xf numFmtId="0" fontId="4" fillId="0" borderId="12" xfId="8" applyBorder="1" applyAlignment="1">
      <alignment wrapText="1"/>
    </xf>
    <xf numFmtId="0" fontId="4" fillId="0" borderId="8" xfId="8" applyBorder="1" applyAlignment="1">
      <alignment wrapText="1"/>
    </xf>
    <xf numFmtId="0" fontId="4" fillId="0" borderId="10" xfId="8" applyBorder="1" applyAlignment="1">
      <alignment wrapText="1"/>
    </xf>
    <xf numFmtId="0" fontId="20" fillId="0" borderId="5" xfId="8" applyFont="1" applyBorder="1" applyAlignment="1">
      <alignment horizontal="center" vertical="center"/>
    </xf>
    <xf numFmtId="0" fontId="20" fillId="0" borderId="6" xfId="8" applyFont="1" applyBorder="1" applyAlignment="1">
      <alignment horizontal="center" vertical="center"/>
    </xf>
    <xf numFmtId="0" fontId="20" fillId="0" borderId="7" xfId="8" applyFont="1" applyBorder="1" applyAlignment="1">
      <alignment horizontal="center" vertical="center"/>
    </xf>
    <xf numFmtId="0" fontId="21" fillId="0" borderId="11" xfId="8" applyFont="1" applyBorder="1" applyAlignment="1">
      <alignment horizontal="center" vertical="center"/>
    </xf>
    <xf numFmtId="0" fontId="21" fillId="0" borderId="0" xfId="8" applyFont="1" applyBorder="1" applyAlignment="1">
      <alignment horizontal="center" vertical="center"/>
    </xf>
    <xf numFmtId="0" fontId="21" fillId="0" borderId="12" xfId="8" applyFont="1" applyBorder="1" applyAlignment="1">
      <alignment horizontal="center" vertical="center"/>
    </xf>
    <xf numFmtId="2" fontId="25" fillId="6" borderId="2" xfId="8" applyNumberFormat="1" applyFont="1" applyFill="1" applyBorder="1" applyAlignment="1">
      <alignment horizontal="center" vertical="center" wrapText="1"/>
    </xf>
    <xf numFmtId="2" fontId="25" fillId="6" borderId="3" xfId="8" applyNumberFormat="1" applyFont="1" applyFill="1" applyBorder="1" applyAlignment="1">
      <alignment horizontal="center" vertical="center" wrapText="1"/>
    </xf>
    <xf numFmtId="0" fontId="3" fillId="0" borderId="5" xfId="8" applyFont="1" applyBorder="1" applyAlignment="1">
      <alignment wrapText="1"/>
    </xf>
    <xf numFmtId="0" fontId="3" fillId="0" borderId="7" xfId="8" applyFont="1" applyBorder="1" applyAlignment="1">
      <alignment wrapText="1"/>
    </xf>
    <xf numFmtId="0" fontId="3" fillId="0" borderId="11" xfId="8" applyFont="1" applyBorder="1" applyAlignment="1">
      <alignment wrapText="1"/>
    </xf>
    <xf numFmtId="0" fontId="3" fillId="0" borderId="12" xfId="8" applyFont="1" applyBorder="1" applyAlignment="1">
      <alignment wrapText="1"/>
    </xf>
    <xf numFmtId="0" fontId="3" fillId="0" borderId="8" xfId="8" applyFont="1" applyBorder="1" applyAlignment="1">
      <alignment wrapText="1"/>
    </xf>
    <xf numFmtId="0" fontId="3" fillId="0" borderId="10" xfId="8" applyFont="1" applyBorder="1" applyAlignment="1">
      <alignment wrapText="1"/>
    </xf>
    <xf numFmtId="0" fontId="14" fillId="0" borderId="5" xfId="8" applyFont="1" applyBorder="1" applyAlignment="1">
      <alignment horizontal="center" vertical="center"/>
    </xf>
    <xf numFmtId="0" fontId="14" fillId="0" borderId="6" xfId="8" applyFont="1" applyBorder="1" applyAlignment="1">
      <alignment horizontal="center" vertical="center"/>
    </xf>
    <xf numFmtId="0" fontId="14" fillId="0" borderId="7" xfId="8" applyFont="1" applyBorder="1" applyAlignment="1">
      <alignment horizontal="center" vertical="center"/>
    </xf>
    <xf numFmtId="0" fontId="2" fillId="0" borderId="11" xfId="8" applyFont="1" applyBorder="1" applyAlignment="1">
      <alignment horizontal="center" vertical="center"/>
    </xf>
    <xf numFmtId="0" fontId="2" fillId="0" borderId="0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23" fillId="0" borderId="13" xfId="8" applyFont="1" applyBorder="1" applyAlignment="1">
      <alignment horizontal="center" vertical="center"/>
    </xf>
    <xf numFmtId="0" fontId="23" fillId="0" borderId="14" xfId="8" applyFont="1" applyBorder="1" applyAlignment="1">
      <alignment horizontal="center" vertical="center"/>
    </xf>
    <xf numFmtId="0" fontId="23" fillId="0" borderId="5" xfId="8" applyFont="1" applyBorder="1" applyAlignment="1">
      <alignment horizontal="left" vertical="center" wrapText="1"/>
    </xf>
    <xf numFmtId="0" fontId="23" fillId="0" borderId="6" xfId="8" applyFont="1" applyBorder="1" applyAlignment="1">
      <alignment horizontal="left" vertical="center" wrapText="1"/>
    </xf>
    <xf numFmtId="0" fontId="23" fillId="0" borderId="7" xfId="8" applyFont="1" applyBorder="1" applyAlignment="1">
      <alignment horizontal="left" vertical="center" wrapText="1"/>
    </xf>
    <xf numFmtId="0" fontId="3" fillId="0" borderId="8" xfId="8" applyFont="1" applyBorder="1" applyAlignment="1">
      <alignment vertical="center" wrapText="1"/>
    </xf>
    <xf numFmtId="0" fontId="3" fillId="0" borderId="9" xfId="8" applyFont="1" applyBorder="1" applyAlignment="1">
      <alignment vertical="center" wrapText="1"/>
    </xf>
    <xf numFmtId="0" fontId="3" fillId="0" borderId="10" xfId="8" applyFont="1" applyBorder="1" applyAlignment="1">
      <alignment vertical="center" wrapText="1"/>
    </xf>
    <xf numFmtId="0" fontId="23" fillId="0" borderId="15" xfId="8" applyFont="1" applyBorder="1" applyAlignment="1">
      <alignment vertical="center" wrapText="1"/>
    </xf>
    <xf numFmtId="0" fontId="3" fillId="0" borderId="16" xfId="8" applyFont="1" applyBorder="1" applyAlignment="1">
      <alignment vertical="center" wrapText="1"/>
    </xf>
    <xf numFmtId="0" fontId="23" fillId="0" borderId="15" xfId="8" applyFont="1" applyBorder="1" applyAlignment="1">
      <alignment horizontal="center" vertical="center" wrapText="1"/>
    </xf>
    <xf numFmtId="0" fontId="3" fillId="0" borderId="16" xfId="8" applyFont="1" applyBorder="1" applyAlignment="1">
      <alignment horizontal="center" vertical="center" wrapText="1"/>
    </xf>
    <xf numFmtId="0" fontId="23" fillId="0" borderId="1" xfId="8" applyFont="1" applyBorder="1" applyAlignment="1">
      <alignment horizontal="center" vertical="center"/>
    </xf>
    <xf numFmtId="0" fontId="31" fillId="0" borderId="2" xfId="8" applyFont="1" applyBorder="1" applyAlignment="1">
      <alignment horizontal="left" vertical="center"/>
    </xf>
    <xf numFmtId="0" fontId="31" fillId="0" borderId="3" xfId="8" applyFont="1" applyBorder="1" applyAlignment="1">
      <alignment horizontal="left" vertical="center"/>
    </xf>
    <xf numFmtId="174" fontId="31" fillId="0" borderId="1" xfId="8" applyNumberFormat="1" applyFont="1" applyBorder="1" applyAlignment="1">
      <alignment horizontal="center" vertical="center"/>
    </xf>
    <xf numFmtId="1" fontId="31" fillId="0" borderId="1" xfId="8" applyNumberFormat="1" applyFont="1" applyBorder="1" applyAlignment="1">
      <alignment horizontal="center" vertical="center"/>
    </xf>
    <xf numFmtId="174" fontId="31" fillId="0" borderId="2" xfId="8" applyNumberFormat="1" applyFont="1" applyBorder="1" applyAlignment="1">
      <alignment horizontal="right" vertical="center" indent="2"/>
    </xf>
    <xf numFmtId="174" fontId="31" fillId="0" borderId="3" xfId="8" applyNumberFormat="1" applyFont="1" applyBorder="1" applyAlignment="1">
      <alignment horizontal="right" vertical="center" indent="2"/>
    </xf>
    <xf numFmtId="0" fontId="31" fillId="0" borderId="2" xfId="8" applyFont="1" applyFill="1" applyBorder="1" applyAlignment="1">
      <alignment horizontal="left" vertical="center" wrapText="1"/>
    </xf>
    <xf numFmtId="0" fontId="31" fillId="0" borderId="3" xfId="8" applyFont="1" applyFill="1" applyBorder="1" applyAlignment="1">
      <alignment horizontal="left" vertical="center" wrapText="1"/>
    </xf>
    <xf numFmtId="181" fontId="31" fillId="0" borderId="1" xfId="8" applyNumberFormat="1" applyFont="1" applyFill="1" applyBorder="1" applyAlignment="1">
      <alignment horizontal="right" vertical="center" indent="4"/>
    </xf>
    <xf numFmtId="174" fontId="31" fillId="0" borderId="2" xfId="8" applyNumberFormat="1" applyFont="1" applyFill="1" applyBorder="1" applyAlignment="1">
      <alignment horizontal="right" vertical="center" indent="2"/>
    </xf>
    <xf numFmtId="174" fontId="31" fillId="0" borderId="3" xfId="8" applyNumberFormat="1" applyFont="1" applyFill="1" applyBorder="1" applyAlignment="1">
      <alignment horizontal="right" vertical="center" indent="2"/>
    </xf>
    <xf numFmtId="9" fontId="31" fillId="0" borderId="1" xfId="8" applyNumberFormat="1" applyFont="1" applyBorder="1" applyAlignment="1">
      <alignment horizontal="center" vertical="center"/>
    </xf>
    <xf numFmtId="0" fontId="31" fillId="0" borderId="1" xfId="8" applyFont="1" applyBorder="1" applyAlignment="1">
      <alignment horizontal="center" vertical="center"/>
    </xf>
    <xf numFmtId="0" fontId="23" fillId="0" borderId="1" xfId="8" applyFont="1" applyBorder="1" applyAlignment="1">
      <alignment horizontal="left" vertical="center"/>
    </xf>
    <xf numFmtId="174" fontId="23" fillId="0" borderId="1" xfId="8" applyNumberFormat="1" applyFont="1" applyBorder="1" applyAlignment="1">
      <alignment horizontal="right" vertical="center" indent="2"/>
    </xf>
    <xf numFmtId="9" fontId="31" fillId="0" borderId="1" xfId="10" applyFont="1" applyBorder="1" applyAlignment="1">
      <alignment horizontal="right" vertical="center" indent="4"/>
    </xf>
    <xf numFmtId="181" fontId="31" fillId="0" borderId="1" xfId="8" applyNumberFormat="1" applyFont="1" applyBorder="1" applyAlignment="1">
      <alignment horizontal="right" vertical="center" indent="4"/>
    </xf>
    <xf numFmtId="0" fontId="31" fillId="0" borderId="1" xfId="8" applyFont="1" applyBorder="1" applyAlignment="1">
      <alignment horizontal="left" vertical="center"/>
    </xf>
    <xf numFmtId="174" fontId="31" fillId="0" borderId="1" xfId="8" applyNumberFormat="1" applyFont="1" applyBorder="1" applyAlignment="1">
      <alignment horizontal="right" vertical="center" indent="2"/>
    </xf>
    <xf numFmtId="0" fontId="31" fillId="0" borderId="2" xfId="14" applyFont="1" applyBorder="1" applyAlignment="1">
      <alignment horizontal="left" vertical="center"/>
    </xf>
    <xf numFmtId="0" fontId="31" fillId="0" borderId="3" xfId="14" applyFont="1" applyBorder="1" applyAlignment="1">
      <alignment horizontal="left" vertical="center"/>
    </xf>
    <xf numFmtId="0" fontId="31" fillId="0" borderId="1" xfId="14" applyFont="1" applyBorder="1" applyAlignment="1">
      <alignment horizontal="left" vertical="center"/>
    </xf>
    <xf numFmtId="0" fontId="2" fillId="0" borderId="1" xfId="8" applyFont="1" applyBorder="1" applyAlignment="1">
      <alignment horizontal="left" vertical="center"/>
    </xf>
    <xf numFmtId="174" fontId="2" fillId="0" borderId="2" xfId="8" applyNumberFormat="1" applyFont="1" applyBorder="1" applyAlignment="1">
      <alignment horizontal="right" vertical="center" indent="2"/>
    </xf>
    <xf numFmtId="174" fontId="2" fillId="0" borderId="3" xfId="8" applyNumberFormat="1" applyFont="1" applyBorder="1" applyAlignment="1">
      <alignment horizontal="right" vertical="center" indent="2"/>
    </xf>
    <xf numFmtId="2" fontId="31" fillId="0" borderId="1" xfId="8" applyNumberFormat="1" applyFont="1" applyBorder="1" applyAlignment="1">
      <alignment horizontal="center" vertical="center"/>
    </xf>
    <xf numFmtId="183" fontId="31" fillId="0" borderId="1" xfId="8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174" fontId="21" fillId="0" borderId="1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3" fillId="0" borderId="5" xfId="11" applyFont="1" applyBorder="1" applyAlignment="1">
      <alignment wrapText="1"/>
    </xf>
    <xf numFmtId="0" fontId="3" fillId="0" borderId="7" xfId="11" applyFont="1" applyBorder="1" applyAlignment="1">
      <alignment wrapText="1"/>
    </xf>
    <xf numFmtId="0" fontId="3" fillId="0" borderId="11" xfId="11" applyFont="1" applyBorder="1" applyAlignment="1">
      <alignment wrapText="1"/>
    </xf>
    <xf numFmtId="0" fontId="3" fillId="0" borderId="12" xfId="11" applyFont="1" applyBorder="1" applyAlignment="1">
      <alignment wrapText="1"/>
    </xf>
    <xf numFmtId="0" fontId="3" fillId="0" borderId="8" xfId="11" applyFont="1" applyBorder="1" applyAlignment="1">
      <alignment wrapText="1"/>
    </xf>
    <xf numFmtId="0" fontId="3" fillId="0" borderId="10" xfId="11" applyFont="1" applyBorder="1" applyAlignment="1">
      <alignment wrapText="1"/>
    </xf>
    <xf numFmtId="0" fontId="14" fillId="0" borderId="5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/>
    </xf>
    <xf numFmtId="0" fontId="14" fillId="0" borderId="7" xfId="11" applyFont="1" applyBorder="1" applyAlignment="1">
      <alignment horizontal="center" vertical="center"/>
    </xf>
    <xf numFmtId="0" fontId="2" fillId="0" borderId="11" xfId="11" applyFont="1" applyBorder="1" applyAlignment="1">
      <alignment horizontal="center" vertical="center"/>
    </xf>
    <xf numFmtId="0" fontId="2" fillId="0" borderId="0" xfId="11" applyFont="1" applyBorder="1" applyAlignment="1">
      <alignment horizontal="center" vertical="center"/>
    </xf>
    <xf numFmtId="0" fontId="2" fillId="0" borderId="12" xfId="11" applyFont="1" applyBorder="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23" fillId="0" borderId="15" xfId="11" applyFont="1" applyFill="1" applyBorder="1" applyAlignment="1">
      <alignment horizontal="left" vertical="center" wrapText="1"/>
    </xf>
    <xf numFmtId="0" fontId="23" fillId="0" borderId="17" xfId="11" applyFont="1" applyFill="1" applyBorder="1" applyAlignment="1">
      <alignment horizontal="left" vertical="center" wrapText="1"/>
    </xf>
    <xf numFmtId="0" fontId="23" fillId="0" borderId="16" xfId="11" applyFont="1" applyFill="1" applyBorder="1" applyAlignment="1">
      <alignment horizontal="left" vertical="center" wrapText="1"/>
    </xf>
    <xf numFmtId="0" fontId="23" fillId="0" borderId="5" xfId="11" applyFont="1" applyFill="1" applyBorder="1" applyAlignment="1">
      <alignment horizontal="left" vertical="center" wrapText="1"/>
    </xf>
    <xf numFmtId="0" fontId="23" fillId="0" borderId="6" xfId="11" applyFont="1" applyFill="1" applyBorder="1" applyAlignment="1">
      <alignment horizontal="left" vertical="center" wrapText="1"/>
    </xf>
    <xf numFmtId="0" fontId="23" fillId="0" borderId="7" xfId="11" applyFont="1" applyFill="1" applyBorder="1" applyAlignment="1">
      <alignment horizontal="left" vertical="center" wrapText="1"/>
    </xf>
    <xf numFmtId="0" fontId="23" fillId="0" borderId="11" xfId="11" applyFont="1" applyFill="1" applyBorder="1" applyAlignment="1">
      <alignment horizontal="left" vertical="center" wrapText="1"/>
    </xf>
    <xf numFmtId="0" fontId="23" fillId="0" borderId="0" xfId="11" applyFont="1" applyFill="1" applyBorder="1" applyAlignment="1">
      <alignment horizontal="left" vertical="center" wrapText="1"/>
    </xf>
    <xf numFmtId="0" fontId="23" fillId="0" borderId="12" xfId="11" applyFont="1" applyFill="1" applyBorder="1" applyAlignment="1">
      <alignment horizontal="left" vertical="center" wrapText="1"/>
    </xf>
    <xf numFmtId="0" fontId="23" fillId="0" borderId="8" xfId="11" applyFont="1" applyFill="1" applyBorder="1" applyAlignment="1">
      <alignment horizontal="left" vertical="center" wrapText="1"/>
    </xf>
    <xf numFmtId="0" fontId="23" fillId="0" borderId="9" xfId="11" applyFont="1" applyFill="1" applyBorder="1" applyAlignment="1">
      <alignment horizontal="left" vertical="center" wrapText="1"/>
    </xf>
    <xf numFmtId="0" fontId="23" fillId="0" borderId="10" xfId="11" applyFont="1" applyFill="1" applyBorder="1" applyAlignment="1">
      <alignment horizontal="left" vertical="center" wrapText="1"/>
    </xf>
    <xf numFmtId="0" fontId="23" fillId="0" borderId="15" xfId="11" applyFont="1" applyFill="1" applyBorder="1" applyAlignment="1">
      <alignment horizontal="center" vertical="center" wrapText="1"/>
    </xf>
    <xf numFmtId="0" fontId="23" fillId="0" borderId="17" xfId="11" applyFont="1" applyFill="1" applyBorder="1" applyAlignment="1">
      <alignment horizontal="center" vertical="center" wrapText="1"/>
    </xf>
    <xf numFmtId="0" fontId="23" fillId="0" borderId="16" xfId="11" applyFont="1" applyFill="1" applyBorder="1" applyAlignment="1">
      <alignment horizontal="center" vertical="center" wrapText="1"/>
    </xf>
    <xf numFmtId="0" fontId="23" fillId="0" borderId="1" xfId="11" applyFont="1" applyBorder="1" applyAlignment="1">
      <alignment horizontal="center" vertical="center"/>
    </xf>
    <xf numFmtId="0" fontId="31" fillId="0" borderId="2" xfId="12" applyFont="1" applyBorder="1" applyAlignment="1">
      <alignment horizontal="left" vertical="center"/>
    </xf>
    <xf numFmtId="0" fontId="31" fillId="0" borderId="3" xfId="12" applyFont="1" applyBorder="1" applyAlignment="1">
      <alignment horizontal="left" vertical="center"/>
    </xf>
    <xf numFmtId="174" fontId="31" fillId="0" borderId="1" xfId="12" applyNumberFormat="1" applyFont="1" applyBorder="1" applyAlignment="1">
      <alignment horizontal="center" vertical="center"/>
    </xf>
    <xf numFmtId="2" fontId="31" fillId="0" borderId="2" xfId="11" applyNumberFormat="1" applyFont="1" applyBorder="1" applyAlignment="1">
      <alignment horizontal="center" vertical="center"/>
    </xf>
    <xf numFmtId="2" fontId="31" fillId="0" borderId="3" xfId="11" applyNumberFormat="1" applyFont="1" applyBorder="1" applyAlignment="1">
      <alignment horizontal="center" vertical="center"/>
    </xf>
    <xf numFmtId="0" fontId="31" fillId="0" borderId="2" xfId="11" applyFont="1" applyBorder="1" applyAlignment="1">
      <alignment horizontal="left" vertical="center"/>
    </xf>
    <xf numFmtId="0" fontId="31" fillId="0" borderId="3" xfId="11" applyFont="1" applyBorder="1" applyAlignment="1">
      <alignment horizontal="left" vertical="center"/>
    </xf>
    <xf numFmtId="174" fontId="31" fillId="0" borderId="1" xfId="11" applyNumberFormat="1" applyFont="1" applyBorder="1" applyAlignment="1">
      <alignment horizontal="center" vertical="center"/>
    </xf>
    <xf numFmtId="9" fontId="31" fillId="0" borderId="2" xfId="11" applyNumberFormat="1" applyFont="1" applyBorder="1" applyAlignment="1">
      <alignment horizontal="center" vertical="center"/>
    </xf>
    <xf numFmtId="9" fontId="31" fillId="0" borderId="3" xfId="11" applyNumberFormat="1" applyFont="1" applyBorder="1" applyAlignment="1">
      <alignment horizontal="center" vertical="center"/>
    </xf>
    <xf numFmtId="174" fontId="23" fillId="0" borderId="1" xfId="11" applyNumberFormat="1" applyFont="1" applyBorder="1" applyAlignment="1">
      <alignment horizontal="right" vertical="center" indent="2"/>
    </xf>
    <xf numFmtId="0" fontId="31" fillId="0" borderId="2" xfId="8" applyFont="1" applyBorder="1" applyAlignment="1">
      <alignment horizontal="left" wrapText="1"/>
    </xf>
    <xf numFmtId="0" fontId="31" fillId="0" borderId="3" xfId="8" applyFont="1" applyBorder="1" applyAlignment="1">
      <alignment horizontal="left" wrapText="1"/>
    </xf>
    <xf numFmtId="0" fontId="31" fillId="0" borderId="2" xfId="11" applyFont="1" applyBorder="1" applyAlignment="1">
      <alignment horizontal="center" vertical="center"/>
    </xf>
    <xf numFmtId="0" fontId="31" fillId="0" borderId="3" xfId="11" applyFont="1" applyBorder="1" applyAlignment="1">
      <alignment horizontal="center" vertical="center"/>
    </xf>
    <xf numFmtId="174" fontId="31" fillId="0" borderId="2" xfId="11" applyNumberFormat="1" applyFont="1" applyBorder="1" applyAlignment="1">
      <alignment horizontal="right" vertical="center" indent="2"/>
    </xf>
    <xf numFmtId="174" fontId="31" fillId="0" borderId="3" xfId="11" applyNumberFormat="1" applyFont="1" applyBorder="1" applyAlignment="1">
      <alignment horizontal="right" vertical="center" indent="2"/>
    </xf>
    <xf numFmtId="0" fontId="31" fillId="0" borderId="2" xfId="12" applyFont="1" applyFill="1" applyBorder="1" applyAlignment="1">
      <alignment horizontal="center" vertical="center"/>
    </xf>
    <xf numFmtId="0" fontId="31" fillId="0" borderId="3" xfId="12" applyFont="1" applyFill="1" applyBorder="1" applyAlignment="1">
      <alignment horizontal="center" vertical="center"/>
    </xf>
    <xf numFmtId="174" fontId="31" fillId="0" borderId="1" xfId="11" applyNumberFormat="1" applyFont="1" applyBorder="1" applyAlignment="1">
      <alignment horizontal="right" vertical="center" indent="2"/>
    </xf>
    <xf numFmtId="0" fontId="31" fillId="0" borderId="1" xfId="11" applyFont="1" applyBorder="1" applyAlignment="1">
      <alignment horizontal="left" vertical="center"/>
    </xf>
    <xf numFmtId="0" fontId="2" fillId="0" borderId="1" xfId="11" applyFont="1" applyBorder="1" applyAlignment="1">
      <alignment horizontal="center" vertical="center"/>
    </xf>
    <xf numFmtId="174" fontId="2" fillId="0" borderId="1" xfId="11" applyNumberFormat="1" applyFont="1" applyBorder="1" applyAlignment="1">
      <alignment horizontal="right" vertical="center" indent="2"/>
    </xf>
    <xf numFmtId="0" fontId="31" fillId="0" borderId="2" xfId="8" applyFont="1" applyBorder="1" applyAlignment="1">
      <alignment horizontal="left" vertical="center" wrapText="1"/>
    </xf>
    <xf numFmtId="0" fontId="31" fillId="0" borderId="3" xfId="8" applyFont="1" applyBorder="1" applyAlignment="1">
      <alignment horizontal="left" vertical="center" wrapText="1"/>
    </xf>
    <xf numFmtId="0" fontId="25" fillId="0" borderId="2" xfId="8" applyFont="1" applyBorder="1" applyAlignment="1">
      <alignment horizontal="left"/>
    </xf>
    <xf numFmtId="0" fontId="25" fillId="0" borderId="3" xfId="8" applyFont="1" applyBorder="1" applyAlignment="1">
      <alignment horizontal="left"/>
    </xf>
    <xf numFmtId="174" fontId="25" fillId="0" borderId="1" xfId="8" applyNumberFormat="1" applyFont="1" applyBorder="1" applyAlignment="1">
      <alignment horizontal="center"/>
    </xf>
    <xf numFmtId="2" fontId="25" fillId="0" borderId="1" xfId="8" applyNumberFormat="1" applyFont="1" applyBorder="1" applyAlignment="1">
      <alignment horizontal="center"/>
    </xf>
    <xf numFmtId="0" fontId="31" fillId="0" borderId="2" xfId="8" applyFont="1" applyBorder="1" applyAlignment="1">
      <alignment horizontal="center" vertical="center"/>
    </xf>
    <xf numFmtId="0" fontId="31" fillId="0" borderId="3" xfId="8" applyFont="1" applyBorder="1" applyAlignment="1">
      <alignment horizontal="center" vertical="center"/>
    </xf>
    <xf numFmtId="0" fontId="2" fillId="0" borderId="1" xfId="8" applyFont="1" applyBorder="1" applyAlignment="1">
      <alignment horizontal="left"/>
    </xf>
    <xf numFmtId="174" fontId="2" fillId="0" borderId="1" xfId="8" applyNumberFormat="1" applyFont="1" applyBorder="1" applyAlignment="1">
      <alignment horizontal="right" indent="2"/>
    </xf>
    <xf numFmtId="174" fontId="2" fillId="0" borderId="1" xfId="8" applyNumberFormat="1" applyFont="1" applyBorder="1" applyAlignment="1">
      <alignment horizontal="right" vertical="center" indent="2"/>
    </xf>
    <xf numFmtId="174" fontId="2" fillId="0" borderId="1" xfId="8" applyNumberFormat="1" applyFont="1" applyBorder="1" applyAlignment="1">
      <alignment horizontal="right" vertical="center" indent="3"/>
    </xf>
    <xf numFmtId="174" fontId="31" fillId="0" borderId="1" xfId="8" applyNumberFormat="1" applyFont="1" applyBorder="1" applyAlignment="1">
      <alignment horizontal="right" vertical="center" indent="3"/>
    </xf>
    <xf numFmtId="174" fontId="23" fillId="0" borderId="1" xfId="8" applyNumberFormat="1" applyFont="1" applyBorder="1" applyAlignment="1">
      <alignment horizontal="right" vertical="center" indent="3"/>
    </xf>
    <xf numFmtId="0" fontId="3" fillId="0" borderId="5" xfId="14" applyFont="1" applyBorder="1" applyAlignment="1">
      <alignment wrapText="1"/>
    </xf>
    <xf numFmtId="0" fontId="3" fillId="0" borderId="7" xfId="14" applyFont="1" applyBorder="1" applyAlignment="1">
      <alignment wrapText="1"/>
    </xf>
    <xf numFmtId="0" fontId="3" fillId="0" borderId="11" xfId="14" applyFont="1" applyBorder="1" applyAlignment="1">
      <alignment wrapText="1"/>
    </xf>
    <xf numFmtId="0" fontId="3" fillId="0" borderId="12" xfId="14" applyFont="1" applyBorder="1" applyAlignment="1">
      <alignment wrapText="1"/>
    </xf>
    <xf numFmtId="0" fontId="3" fillId="0" borderId="8" xfId="14" applyFont="1" applyBorder="1" applyAlignment="1">
      <alignment wrapText="1"/>
    </xf>
    <xf numFmtId="0" fontId="3" fillId="0" borderId="10" xfId="14" applyFont="1" applyBorder="1" applyAlignment="1">
      <alignment wrapText="1"/>
    </xf>
    <xf numFmtId="0" fontId="14" fillId="0" borderId="5" xfId="14" applyFont="1" applyBorder="1" applyAlignment="1">
      <alignment horizontal="center" vertical="center"/>
    </xf>
    <xf numFmtId="0" fontId="14" fillId="0" borderId="6" xfId="14" applyFont="1" applyBorder="1" applyAlignment="1">
      <alignment horizontal="center" vertical="center"/>
    </xf>
    <xf numFmtId="0" fontId="14" fillId="0" borderId="7" xfId="14" applyFont="1" applyBorder="1" applyAlignment="1">
      <alignment horizontal="center" vertical="center"/>
    </xf>
    <xf numFmtId="0" fontId="2" fillId="0" borderId="11" xfId="14" applyFont="1" applyBorder="1" applyAlignment="1">
      <alignment horizontal="center" vertical="center"/>
    </xf>
    <xf numFmtId="0" fontId="2" fillId="0" borderId="0" xfId="14" applyFont="1" applyBorder="1" applyAlignment="1">
      <alignment horizontal="center" vertical="center"/>
    </xf>
    <xf numFmtId="0" fontId="2" fillId="0" borderId="12" xfId="14" applyFont="1" applyBorder="1" applyAlignment="1">
      <alignment horizontal="center" vertical="center"/>
    </xf>
    <xf numFmtId="0" fontId="2" fillId="0" borderId="0" xfId="14" applyFont="1" applyAlignment="1">
      <alignment horizontal="center" vertical="center"/>
    </xf>
    <xf numFmtId="0" fontId="23" fillId="0" borderId="15" xfId="14" applyFont="1" applyFill="1" applyBorder="1" applyAlignment="1">
      <alignment horizontal="left" vertical="center" wrapText="1"/>
    </xf>
    <xf numFmtId="0" fontId="23" fillId="0" borderId="17" xfId="14" applyFont="1" applyFill="1" applyBorder="1" applyAlignment="1">
      <alignment horizontal="left" vertical="center" wrapText="1"/>
    </xf>
    <xf numFmtId="0" fontId="23" fillId="0" borderId="16" xfId="14" applyFont="1" applyFill="1" applyBorder="1" applyAlignment="1">
      <alignment horizontal="left" vertical="center" wrapText="1"/>
    </xf>
    <xf numFmtId="0" fontId="23" fillId="0" borderId="5" xfId="14" applyFont="1" applyFill="1" applyBorder="1" applyAlignment="1">
      <alignment horizontal="left" vertical="center" wrapText="1"/>
    </xf>
    <xf numFmtId="0" fontId="23" fillId="0" borderId="6" xfId="14" applyFont="1" applyFill="1" applyBorder="1" applyAlignment="1">
      <alignment horizontal="left" vertical="center" wrapText="1"/>
    </xf>
    <xf numFmtId="0" fontId="23" fillId="0" borderId="7" xfId="14" applyFont="1" applyFill="1" applyBorder="1" applyAlignment="1">
      <alignment horizontal="left" vertical="center" wrapText="1"/>
    </xf>
    <xf numFmtId="0" fontId="23" fillId="0" borderId="11" xfId="14" applyFont="1" applyFill="1" applyBorder="1" applyAlignment="1">
      <alignment horizontal="left" vertical="center" wrapText="1"/>
    </xf>
    <xf numFmtId="0" fontId="23" fillId="0" borderId="0" xfId="14" applyFont="1" applyFill="1" applyBorder="1" applyAlignment="1">
      <alignment horizontal="left" vertical="center" wrapText="1"/>
    </xf>
    <xf numFmtId="0" fontId="23" fillId="0" borderId="12" xfId="14" applyFont="1" applyFill="1" applyBorder="1" applyAlignment="1">
      <alignment horizontal="left" vertical="center" wrapText="1"/>
    </xf>
    <xf numFmtId="0" fontId="23" fillId="0" borderId="8" xfId="14" applyFont="1" applyFill="1" applyBorder="1" applyAlignment="1">
      <alignment horizontal="left" vertical="center" wrapText="1"/>
    </xf>
    <xf numFmtId="0" fontId="23" fillId="0" borderId="9" xfId="14" applyFont="1" applyFill="1" applyBorder="1" applyAlignment="1">
      <alignment horizontal="left" vertical="center" wrapText="1"/>
    </xf>
    <xf numFmtId="0" fontId="23" fillId="0" borderId="10" xfId="14" applyFont="1" applyFill="1" applyBorder="1" applyAlignment="1">
      <alignment horizontal="left" vertical="center" wrapText="1"/>
    </xf>
    <xf numFmtId="0" fontId="23" fillId="0" borderId="15" xfId="14" applyFont="1" applyFill="1" applyBorder="1" applyAlignment="1">
      <alignment horizontal="center" vertical="center" wrapText="1"/>
    </xf>
    <xf numFmtId="0" fontId="23" fillId="0" borderId="17" xfId="14" applyFont="1" applyFill="1" applyBorder="1" applyAlignment="1">
      <alignment horizontal="center" vertical="center" wrapText="1"/>
    </xf>
    <xf numFmtId="0" fontId="23" fillId="0" borderId="16" xfId="14" applyFont="1" applyFill="1" applyBorder="1" applyAlignment="1">
      <alignment horizontal="center" vertical="center" wrapText="1"/>
    </xf>
    <xf numFmtId="0" fontId="23" fillId="0" borderId="1" xfId="14" applyFont="1" applyBorder="1" applyAlignment="1">
      <alignment horizontal="center" vertical="center"/>
    </xf>
    <xf numFmtId="0" fontId="31" fillId="0" borderId="2" xfId="15" applyFont="1" applyBorder="1" applyAlignment="1">
      <alignment horizontal="left" vertical="center"/>
    </xf>
    <xf numFmtId="0" fontId="31" fillId="0" borderId="3" xfId="15" applyFont="1" applyBorder="1" applyAlignment="1">
      <alignment horizontal="left" vertical="center"/>
    </xf>
    <xf numFmtId="174" fontId="31" fillId="0" borderId="1" xfId="15" applyNumberFormat="1" applyFont="1" applyFill="1" applyBorder="1" applyAlignment="1">
      <alignment horizontal="center" vertical="center"/>
    </xf>
    <xf numFmtId="164" fontId="31" fillId="0" borderId="2" xfId="9" applyFont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174" fontId="31" fillId="0" borderId="2" xfId="14" applyNumberFormat="1" applyFont="1" applyBorder="1" applyAlignment="1">
      <alignment horizontal="right" vertical="center" indent="2"/>
    </xf>
    <xf numFmtId="174" fontId="31" fillId="0" borderId="3" xfId="14" applyNumberFormat="1" applyFont="1" applyBorder="1" applyAlignment="1">
      <alignment horizontal="right" vertical="center" indent="2"/>
    </xf>
    <xf numFmtId="0" fontId="31" fillId="0" borderId="2" xfId="15" applyFont="1" applyBorder="1" applyAlignment="1">
      <alignment horizontal="left" vertical="center" wrapText="1"/>
    </xf>
    <xf numFmtId="0" fontId="31" fillId="0" borderId="3" xfId="15" applyFont="1" applyBorder="1" applyAlignment="1">
      <alignment horizontal="left" vertical="center" wrapText="1"/>
    </xf>
    <xf numFmtId="174" fontId="31" fillId="0" borderId="1" xfId="15" applyNumberFormat="1" applyFont="1" applyBorder="1" applyAlignment="1">
      <alignment horizontal="center" vertical="center"/>
    </xf>
    <xf numFmtId="174" fontId="31" fillId="0" borderId="1" xfId="14" applyNumberFormat="1" applyFont="1" applyBorder="1" applyAlignment="1">
      <alignment horizontal="center" vertical="center"/>
    </xf>
    <xf numFmtId="9" fontId="31" fillId="0" borderId="1" xfId="14" applyNumberFormat="1" applyFont="1" applyBorder="1" applyAlignment="1">
      <alignment horizontal="center" vertical="center"/>
    </xf>
    <xf numFmtId="174" fontId="23" fillId="0" borderId="2" xfId="14" applyNumberFormat="1" applyFont="1" applyBorder="1" applyAlignment="1">
      <alignment horizontal="right" vertical="center" indent="2"/>
    </xf>
    <xf numFmtId="174" fontId="23" fillId="0" borderId="3" xfId="14" applyNumberFormat="1" applyFont="1" applyBorder="1" applyAlignment="1">
      <alignment horizontal="right" vertical="center" indent="2"/>
    </xf>
    <xf numFmtId="0" fontId="23" fillId="0" borderId="2" xfId="14" applyFont="1" applyBorder="1" applyAlignment="1">
      <alignment horizontal="center" vertical="center"/>
    </xf>
    <xf numFmtId="0" fontId="23" fillId="0" borderId="3" xfId="14" applyFont="1" applyBorder="1" applyAlignment="1">
      <alignment horizontal="center" vertical="center"/>
    </xf>
    <xf numFmtId="0" fontId="31" fillId="0" borderId="2" xfId="14" applyFont="1" applyBorder="1" applyAlignment="1">
      <alignment horizontal="center" vertical="center"/>
    </xf>
    <xf numFmtId="0" fontId="31" fillId="0" borderId="3" xfId="14" applyFont="1" applyBorder="1" applyAlignment="1">
      <alignment horizontal="center" vertical="center"/>
    </xf>
    <xf numFmtId="0" fontId="31" fillId="0" borderId="2" xfId="15" applyFont="1" applyFill="1" applyBorder="1" applyAlignment="1">
      <alignment horizontal="center" vertical="center"/>
    </xf>
    <xf numFmtId="0" fontId="31" fillId="0" borderId="3" xfId="15" applyFont="1" applyFill="1" applyBorder="1" applyAlignment="1">
      <alignment horizontal="center" vertical="center"/>
    </xf>
    <xf numFmtId="174" fontId="31" fillId="0" borderId="2" xfId="15" applyNumberFormat="1" applyFont="1" applyBorder="1" applyAlignment="1">
      <alignment horizontal="right" vertical="center" indent="2"/>
    </xf>
    <xf numFmtId="174" fontId="31" fillId="0" borderId="3" xfId="15" applyNumberFormat="1" applyFont="1" applyBorder="1" applyAlignment="1">
      <alignment horizontal="right" vertical="center" indent="2"/>
    </xf>
    <xf numFmtId="0" fontId="2" fillId="0" borderId="1" xfId="14" applyFont="1" applyBorder="1" applyAlignment="1">
      <alignment horizontal="center" vertical="center"/>
    </xf>
    <xf numFmtId="174" fontId="2" fillId="0" borderId="2" xfId="14" applyNumberFormat="1" applyFont="1" applyBorder="1" applyAlignment="1">
      <alignment horizontal="right" vertical="center" indent="2"/>
    </xf>
    <xf numFmtId="174" fontId="2" fillId="0" borderId="3" xfId="14" applyNumberFormat="1" applyFont="1" applyBorder="1" applyAlignment="1">
      <alignment horizontal="right" vertical="center" indent="2"/>
    </xf>
    <xf numFmtId="0" fontId="23" fillId="0" borderId="5" xfId="8" applyFont="1" applyFill="1" applyBorder="1" applyAlignment="1">
      <alignment horizontal="left" vertical="center" wrapText="1"/>
    </xf>
    <xf numFmtId="0" fontId="23" fillId="0" borderId="6" xfId="8" applyFont="1" applyFill="1" applyBorder="1" applyAlignment="1">
      <alignment horizontal="left" vertical="center" wrapText="1"/>
    </xf>
    <xf numFmtId="0" fontId="23" fillId="0" borderId="7" xfId="8" applyFont="1" applyFill="1" applyBorder="1" applyAlignment="1">
      <alignment horizontal="left" vertical="center" wrapText="1"/>
    </xf>
    <xf numFmtId="0" fontId="3" fillId="0" borderId="8" xfId="8" applyFont="1" applyFill="1" applyBorder="1" applyAlignment="1">
      <alignment vertical="center" wrapText="1"/>
    </xf>
    <xf numFmtId="0" fontId="3" fillId="0" borderId="9" xfId="8" applyFont="1" applyFill="1" applyBorder="1" applyAlignment="1">
      <alignment vertical="center" wrapText="1"/>
    </xf>
    <xf numFmtId="0" fontId="3" fillId="0" borderId="10" xfId="8" applyFont="1" applyFill="1" applyBorder="1" applyAlignment="1">
      <alignment vertical="center" wrapText="1"/>
    </xf>
    <xf numFmtId="2" fontId="31" fillId="6" borderId="1" xfId="8" applyNumberFormat="1" applyFont="1" applyFill="1" applyBorder="1" applyAlignment="1">
      <alignment horizontal="center" vertical="center"/>
    </xf>
    <xf numFmtId="0" fontId="31" fillId="0" borderId="1" xfId="8" applyFont="1" applyFill="1" applyBorder="1" applyAlignment="1">
      <alignment horizontal="left" vertical="center"/>
    </xf>
    <xf numFmtId="174" fontId="31" fillId="0" borderId="1" xfId="8" applyNumberFormat="1" applyFont="1" applyFill="1" applyBorder="1" applyAlignment="1">
      <alignment horizontal="right" vertical="center" indent="2"/>
    </xf>
    <xf numFmtId="0" fontId="23" fillId="0" borderId="5" xfId="8" applyFont="1" applyBorder="1" applyAlignment="1">
      <alignment horizontal="justify" vertical="center" wrapText="1"/>
    </xf>
    <xf numFmtId="0" fontId="23" fillId="0" borderId="6" xfId="8" applyFont="1" applyBorder="1" applyAlignment="1">
      <alignment horizontal="justify" vertical="center" wrapText="1"/>
    </xf>
    <xf numFmtId="0" fontId="23" fillId="0" borderId="7" xfId="8" applyFont="1" applyBorder="1" applyAlignment="1">
      <alignment horizontal="justify" vertical="center" wrapText="1"/>
    </xf>
    <xf numFmtId="0" fontId="3" fillId="0" borderId="8" xfId="8" applyFont="1" applyBorder="1" applyAlignment="1">
      <alignment horizontal="justify" vertical="center" wrapText="1"/>
    </xf>
    <xf numFmtId="0" fontId="3" fillId="0" borderId="9" xfId="8" applyFont="1" applyBorder="1" applyAlignment="1">
      <alignment horizontal="justify" vertical="center" wrapText="1"/>
    </xf>
    <xf numFmtId="0" fontId="3" fillId="0" borderId="10" xfId="8" applyFont="1" applyBorder="1" applyAlignment="1">
      <alignment horizontal="justify" vertical="center" wrapText="1"/>
    </xf>
    <xf numFmtId="0" fontId="31" fillId="6" borderId="2" xfId="8" applyFont="1" applyFill="1" applyBorder="1" applyAlignment="1">
      <alignment horizontal="left" vertical="center" wrapText="1"/>
    </xf>
    <xf numFmtId="0" fontId="31" fillId="6" borderId="3" xfId="8" applyFont="1" applyFill="1" applyBorder="1" applyAlignment="1">
      <alignment horizontal="left" vertical="center" wrapText="1"/>
    </xf>
    <xf numFmtId="181" fontId="31" fillId="6" borderId="1" xfId="8" applyNumberFormat="1" applyFont="1" applyFill="1" applyBorder="1" applyAlignment="1">
      <alignment horizontal="right" vertical="center" indent="4"/>
    </xf>
    <xf numFmtId="174" fontId="31" fillId="6" borderId="2" xfId="8" applyNumberFormat="1" applyFont="1" applyFill="1" applyBorder="1" applyAlignment="1">
      <alignment horizontal="right" vertical="center" indent="2"/>
    </xf>
    <xf numFmtId="174" fontId="31" fillId="6" borderId="3" xfId="8" applyNumberFormat="1" applyFont="1" applyFill="1" applyBorder="1" applyAlignment="1">
      <alignment horizontal="right" vertical="center" indent="2"/>
    </xf>
    <xf numFmtId="0" fontId="31" fillId="6" borderId="2" xfId="8" applyFont="1" applyFill="1" applyBorder="1" applyAlignment="1">
      <alignment horizontal="left" vertical="center"/>
    </xf>
    <xf numFmtId="0" fontId="31" fillId="6" borderId="3" xfId="8" applyFont="1" applyFill="1" applyBorder="1" applyAlignment="1">
      <alignment horizontal="left" vertical="center"/>
    </xf>
    <xf numFmtId="174" fontId="31" fillId="6" borderId="1" xfId="8" applyNumberFormat="1" applyFont="1" applyFill="1" applyBorder="1" applyAlignment="1">
      <alignment horizontal="center" vertical="center"/>
    </xf>
    <xf numFmtId="9" fontId="31" fillId="6" borderId="1" xfId="8" applyNumberFormat="1" applyFont="1" applyFill="1" applyBorder="1" applyAlignment="1">
      <alignment horizontal="center" vertical="center"/>
    </xf>
    <xf numFmtId="0" fontId="31" fillId="6" borderId="1" xfId="8" applyFont="1" applyFill="1" applyBorder="1" applyAlignment="1">
      <alignment horizontal="center" vertical="center"/>
    </xf>
    <xf numFmtId="0" fontId="23" fillId="6" borderId="1" xfId="8" applyFont="1" applyFill="1" applyBorder="1" applyAlignment="1">
      <alignment horizontal="left" vertical="center"/>
    </xf>
    <xf numFmtId="174" fontId="23" fillId="6" borderId="1" xfId="8" applyNumberFormat="1" applyFont="1" applyFill="1" applyBorder="1" applyAlignment="1">
      <alignment horizontal="right" vertical="center" indent="2"/>
    </xf>
    <xf numFmtId="0" fontId="23" fillId="6" borderId="1" xfId="8" applyFont="1" applyFill="1" applyBorder="1" applyAlignment="1">
      <alignment horizontal="center" vertical="center"/>
    </xf>
    <xf numFmtId="174" fontId="31" fillId="6" borderId="1" xfId="8" applyNumberFormat="1" applyFont="1" applyFill="1" applyBorder="1" applyAlignment="1">
      <alignment horizontal="right" vertical="center" indent="2"/>
    </xf>
    <xf numFmtId="0" fontId="22" fillId="0" borderId="17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174" fontId="25" fillId="0" borderId="2" xfId="0" applyNumberFormat="1" applyFont="1" applyBorder="1" applyAlignment="1">
      <alignment horizontal="center"/>
    </xf>
    <xf numFmtId="174" fontId="25" fillId="0" borderId="3" xfId="0" applyNumberFormat="1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4" fontId="21" fillId="0" borderId="1" xfId="8" applyNumberFormat="1" applyFont="1" applyFill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0" fontId="3" fillId="0" borderId="11" xfId="8" applyFont="1" applyBorder="1" applyAlignment="1">
      <alignment vertical="center" wrapText="1"/>
    </xf>
    <xf numFmtId="0" fontId="3" fillId="0" borderId="12" xfId="8" applyFont="1" applyBorder="1" applyAlignment="1">
      <alignment vertical="center" wrapText="1"/>
    </xf>
    <xf numFmtId="0" fontId="23" fillId="0" borderId="13" xfId="8" applyFont="1" applyBorder="1" applyAlignment="1">
      <alignment horizontal="left" vertical="center" wrapText="1"/>
    </xf>
    <xf numFmtId="0" fontId="23" fillId="0" borderId="20" xfId="8" applyFont="1" applyBorder="1" applyAlignment="1">
      <alignment horizontal="left" vertical="center" wrapText="1"/>
    </xf>
    <xf numFmtId="0" fontId="23" fillId="0" borderId="14" xfId="8" applyFont="1" applyBorder="1" applyAlignment="1">
      <alignment horizontal="left" vertical="center" wrapText="1"/>
    </xf>
    <xf numFmtId="2" fontId="31" fillId="0" borderId="1" xfId="8" applyNumberFormat="1" applyFont="1" applyBorder="1" applyAlignment="1">
      <alignment horizontal="right" vertical="center"/>
    </xf>
    <xf numFmtId="178" fontId="31" fillId="0" borderId="2" xfId="8" applyNumberFormat="1" applyFont="1" applyBorder="1" applyAlignment="1">
      <alignment horizontal="right" vertical="center" indent="2"/>
    </xf>
    <xf numFmtId="178" fontId="31" fillId="0" borderId="3" xfId="8" applyNumberFormat="1" applyFont="1" applyBorder="1" applyAlignment="1">
      <alignment horizontal="right" vertical="center" indent="2"/>
    </xf>
    <xf numFmtId="2" fontId="31" fillId="0" borderId="2" xfId="8" applyNumberFormat="1" applyFont="1" applyBorder="1" applyAlignment="1">
      <alignment horizontal="right" vertical="center"/>
    </xf>
    <xf numFmtId="2" fontId="31" fillId="0" borderId="3" xfId="8" applyNumberFormat="1" applyFont="1" applyBorder="1" applyAlignment="1">
      <alignment horizontal="right" vertical="center"/>
    </xf>
    <xf numFmtId="9" fontId="31" fillId="0" borderId="1" xfId="8" applyNumberFormat="1" applyFont="1" applyBorder="1" applyAlignment="1">
      <alignment horizontal="right" vertical="center"/>
    </xf>
    <xf numFmtId="0" fontId="31" fillId="0" borderId="1" xfId="8" applyFont="1" applyBorder="1" applyAlignment="1">
      <alignment horizontal="right" vertical="center"/>
    </xf>
    <xf numFmtId="178" fontId="31" fillId="0" borderId="1" xfId="8" applyNumberFormat="1" applyFont="1" applyBorder="1" applyAlignment="1">
      <alignment horizontal="right" vertical="center" indent="2"/>
    </xf>
    <xf numFmtId="178" fontId="23" fillId="0" borderId="1" xfId="8" applyNumberFormat="1" applyFont="1" applyBorder="1" applyAlignment="1">
      <alignment horizontal="right" vertical="center" indent="2"/>
    </xf>
    <xf numFmtId="178" fontId="23" fillId="0" borderId="2" xfId="8" applyNumberFormat="1" applyFont="1" applyBorder="1" applyAlignment="1">
      <alignment horizontal="right" vertical="center" indent="2"/>
    </xf>
    <xf numFmtId="178" fontId="23" fillId="0" borderId="3" xfId="8" applyNumberFormat="1" applyFont="1" applyBorder="1" applyAlignment="1">
      <alignment horizontal="right" vertical="center" indent="2"/>
    </xf>
    <xf numFmtId="178" fontId="2" fillId="0" borderId="2" xfId="8" applyNumberFormat="1" applyFont="1" applyBorder="1" applyAlignment="1">
      <alignment horizontal="right" vertical="center"/>
    </xf>
    <xf numFmtId="178" fontId="2" fillId="0" borderId="3" xfId="8" applyNumberFormat="1" applyFont="1" applyBorder="1" applyAlignment="1">
      <alignment horizontal="right" vertical="center"/>
    </xf>
    <xf numFmtId="178" fontId="31" fillId="0" borderId="1" xfId="8" applyNumberFormat="1" applyFont="1" applyBorder="1" applyAlignment="1">
      <alignment horizontal="right" vertical="center" indent="3"/>
    </xf>
    <xf numFmtId="178" fontId="23" fillId="0" borderId="2" xfId="8" applyNumberFormat="1" applyFont="1" applyBorder="1" applyAlignment="1">
      <alignment horizontal="right" vertical="center" indent="3"/>
    </xf>
    <xf numFmtId="178" fontId="23" fillId="0" borderId="3" xfId="8" applyNumberFormat="1" applyFont="1" applyBorder="1" applyAlignment="1">
      <alignment horizontal="right" vertical="center" indent="3"/>
    </xf>
    <xf numFmtId="178" fontId="2" fillId="0" borderId="2" xfId="8" applyNumberFormat="1" applyFont="1" applyBorder="1" applyAlignment="1">
      <alignment horizontal="right" vertical="center" indent="2"/>
    </xf>
    <xf numFmtId="178" fontId="2" fillId="0" borderId="3" xfId="8" applyNumberFormat="1" applyFont="1" applyBorder="1" applyAlignment="1">
      <alignment horizontal="right" vertical="center" indent="2"/>
    </xf>
    <xf numFmtId="1" fontId="31" fillId="0" borderId="1" xfId="8" applyNumberFormat="1" applyFont="1" applyBorder="1" applyAlignment="1">
      <alignment horizontal="right" vertical="center" indent="4"/>
    </xf>
    <xf numFmtId="182" fontId="31" fillId="0" borderId="1" xfId="8" applyNumberFormat="1" applyFont="1" applyBorder="1" applyAlignment="1">
      <alignment horizontal="right" vertical="center" indent="4"/>
    </xf>
    <xf numFmtId="0" fontId="31" fillId="0" borderId="1" xfId="12" applyFont="1" applyBorder="1" applyAlignment="1">
      <alignment horizontal="left" vertical="center"/>
    </xf>
    <xf numFmtId="0" fontId="23" fillId="0" borderId="15" xfId="12" applyFont="1" applyBorder="1" applyAlignment="1">
      <alignment horizontal="left" vertical="center" wrapText="1"/>
    </xf>
    <xf numFmtId="0" fontId="23" fillId="0" borderId="17" xfId="12" applyFont="1" applyBorder="1" applyAlignment="1">
      <alignment horizontal="left" vertical="center" wrapText="1"/>
    </xf>
    <xf numFmtId="0" fontId="23" fillId="0" borderId="16" xfId="12" applyFont="1" applyBorder="1" applyAlignment="1">
      <alignment horizontal="left" vertical="center" wrapText="1"/>
    </xf>
    <xf numFmtId="0" fontId="23" fillId="0" borderId="5" xfId="12" applyFont="1" applyBorder="1" applyAlignment="1">
      <alignment horizontal="left" vertical="center" wrapText="1"/>
    </xf>
    <xf numFmtId="0" fontId="23" fillId="0" borderId="6" xfId="12" applyFont="1" applyBorder="1" applyAlignment="1">
      <alignment horizontal="left" vertical="center" wrapText="1"/>
    </xf>
    <xf numFmtId="0" fontId="23" fillId="0" borderId="7" xfId="12" applyFont="1" applyBorder="1" applyAlignment="1">
      <alignment horizontal="left" vertical="center" wrapText="1"/>
    </xf>
    <xf numFmtId="0" fontId="23" fillId="0" borderId="11" xfId="12" applyFont="1" applyBorder="1" applyAlignment="1">
      <alignment horizontal="left" vertical="center" wrapText="1"/>
    </xf>
    <xf numFmtId="0" fontId="23" fillId="0" borderId="0" xfId="12" applyFont="1" applyBorder="1" applyAlignment="1">
      <alignment horizontal="left" vertical="center" wrapText="1"/>
    </xf>
    <xf numFmtId="0" fontId="23" fillId="0" borderId="12" xfId="12" applyFont="1" applyBorder="1" applyAlignment="1">
      <alignment horizontal="left" vertical="center" wrapText="1"/>
    </xf>
    <xf numFmtId="0" fontId="23" fillId="0" borderId="8" xfId="12" applyFont="1" applyBorder="1" applyAlignment="1">
      <alignment horizontal="left" vertical="center" wrapText="1"/>
    </xf>
    <xf numFmtId="0" fontId="23" fillId="0" borderId="9" xfId="12" applyFont="1" applyBorder="1" applyAlignment="1">
      <alignment horizontal="left" vertical="center" wrapText="1"/>
    </xf>
    <xf numFmtId="0" fontId="23" fillId="0" borderId="10" xfId="12" applyFont="1" applyBorder="1" applyAlignment="1">
      <alignment horizontal="left" vertical="center" wrapText="1"/>
    </xf>
    <xf numFmtId="0" fontId="23" fillId="0" borderId="15" xfId="12" applyFont="1" applyBorder="1" applyAlignment="1">
      <alignment horizontal="center" vertical="center" wrapText="1"/>
    </xf>
    <xf numFmtId="0" fontId="23" fillId="0" borderId="17" xfId="12" applyFont="1" applyBorder="1" applyAlignment="1">
      <alignment horizontal="center" vertical="center" wrapText="1"/>
    </xf>
    <xf numFmtId="0" fontId="23" fillId="0" borderId="16" xfId="12" applyFont="1" applyBorder="1" applyAlignment="1">
      <alignment horizontal="center" vertical="center" wrapText="1"/>
    </xf>
    <xf numFmtId="0" fontId="23" fillId="0" borderId="1" xfId="12" applyFont="1" applyBorder="1" applyAlignment="1">
      <alignment horizontal="center" vertical="center"/>
    </xf>
    <xf numFmtId="0" fontId="31" fillId="0" borderId="1" xfId="12" applyFont="1" applyBorder="1" applyAlignment="1">
      <alignment horizontal="center" vertical="center"/>
    </xf>
    <xf numFmtId="174" fontId="31" fillId="0" borderId="1" xfId="12" applyNumberFormat="1" applyFont="1" applyBorder="1" applyAlignment="1">
      <alignment horizontal="right" vertical="center" indent="2"/>
    </xf>
    <xf numFmtId="181" fontId="31" fillId="0" borderId="2" xfId="12" applyNumberFormat="1" applyFont="1" applyBorder="1" applyAlignment="1">
      <alignment horizontal="right" vertical="center" indent="2"/>
    </xf>
    <xf numFmtId="181" fontId="31" fillId="0" borderId="3" xfId="12" applyNumberFormat="1" applyFont="1" applyBorder="1" applyAlignment="1">
      <alignment horizontal="right" vertical="center" indent="2"/>
    </xf>
    <xf numFmtId="0" fontId="31" fillId="0" borderId="2" xfId="12" applyFont="1" applyBorder="1" applyAlignment="1">
      <alignment horizontal="left"/>
    </xf>
    <xf numFmtId="0" fontId="31" fillId="0" borderId="3" xfId="12" applyFont="1" applyBorder="1" applyAlignment="1">
      <alignment horizontal="left"/>
    </xf>
    <xf numFmtId="174" fontId="31" fillId="0" borderId="1" xfId="12" applyNumberFormat="1" applyFont="1" applyBorder="1" applyAlignment="1">
      <alignment horizontal="center"/>
    </xf>
    <xf numFmtId="9" fontId="31" fillId="0" borderId="1" xfId="12" applyNumberFormat="1" applyFont="1" applyBorder="1" applyAlignment="1">
      <alignment horizontal="center" vertical="center"/>
    </xf>
    <xf numFmtId="174" fontId="23" fillId="0" borderId="1" xfId="12" applyNumberFormat="1" applyFont="1" applyBorder="1" applyAlignment="1">
      <alignment horizontal="right" vertical="center" indent="2"/>
    </xf>
    <xf numFmtId="181" fontId="31" fillId="0" borderId="2" xfId="8" applyNumberFormat="1" applyFont="1" applyBorder="1" applyAlignment="1">
      <alignment horizontal="right" vertical="center" indent="2"/>
    </xf>
    <xf numFmtId="181" fontId="31" fillId="0" borderId="3" xfId="8" applyNumberFormat="1" applyFont="1" applyBorder="1" applyAlignment="1">
      <alignment horizontal="right" vertical="center" indent="2"/>
    </xf>
    <xf numFmtId="181" fontId="31" fillId="0" borderId="2" xfId="12" applyNumberFormat="1" applyFont="1" applyFill="1" applyBorder="1" applyAlignment="1">
      <alignment horizontal="right" vertical="center" indent="2"/>
    </xf>
    <xf numFmtId="181" fontId="31" fillId="0" borderId="3" xfId="12" applyNumberFormat="1" applyFont="1" applyFill="1" applyBorder="1" applyAlignment="1">
      <alignment horizontal="right" vertical="center" indent="2"/>
    </xf>
    <xf numFmtId="174" fontId="31" fillId="0" borderId="2" xfId="12" applyNumberFormat="1" applyFont="1" applyBorder="1" applyAlignment="1">
      <alignment horizontal="right" vertical="center" indent="2"/>
    </xf>
    <xf numFmtId="174" fontId="31" fillId="0" borderId="3" xfId="12" applyNumberFormat="1" applyFont="1" applyBorder="1" applyAlignment="1">
      <alignment horizontal="right" vertical="center" indent="2"/>
    </xf>
    <xf numFmtId="0" fontId="2" fillId="0" borderId="1" xfId="12" applyFont="1" applyBorder="1" applyAlignment="1">
      <alignment horizontal="center" vertical="center"/>
    </xf>
    <xf numFmtId="174" fontId="2" fillId="0" borderId="1" xfId="12" applyNumberFormat="1" applyFont="1" applyFill="1" applyBorder="1" applyAlignment="1">
      <alignment horizontal="right" vertical="center" indent="2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15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 wrapText="1"/>
    </xf>
    <xf numFmtId="9" fontId="25" fillId="0" borderId="1" xfId="18" applyFont="1" applyBorder="1" applyAlignment="1">
      <alignment horizontal="center"/>
    </xf>
    <xf numFmtId="178" fontId="21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left" wrapText="1"/>
    </xf>
    <xf numFmtId="0" fontId="25" fillId="0" borderId="1" xfId="0" applyNumberFormat="1" applyFont="1" applyBorder="1" applyAlignment="1">
      <alignment horizontal="center"/>
    </xf>
    <xf numFmtId="43" fontId="25" fillId="0" borderId="2" xfId="1" applyFont="1" applyBorder="1" applyAlignment="1">
      <alignment horizontal="left" wrapText="1"/>
    </xf>
    <xf numFmtId="43" fontId="25" fillId="0" borderId="3" xfId="1" applyFont="1" applyBorder="1" applyAlignment="1">
      <alignment horizontal="left" wrapText="1"/>
    </xf>
    <xf numFmtId="43" fontId="25" fillId="0" borderId="1" xfId="1" applyFont="1" applyBorder="1" applyAlignment="1">
      <alignment horizontal="center"/>
    </xf>
    <xf numFmtId="0" fontId="25" fillId="0" borderId="1" xfId="0" applyNumberFormat="1" applyFont="1" applyBorder="1" applyAlignment="1">
      <alignment horizontal="center" vertical="center"/>
    </xf>
    <xf numFmtId="9" fontId="25" fillId="0" borderId="1" xfId="18" applyFont="1" applyBorder="1" applyAlignment="1">
      <alignment horizontal="center" vertical="center"/>
    </xf>
  </cellXfs>
  <cellStyles count="19">
    <cellStyle name="Millares" xfId="1" builtinId="3"/>
    <cellStyle name="Millares 2" xfId="9"/>
    <cellStyle name="Millares 2 4" xfId="4"/>
    <cellStyle name="Millares_FORMULARIO 4 - M-OFERENTE PPTA ECONOMICA" xfId="7"/>
    <cellStyle name="Millares_PO BARBOSA PTO BERRIO 2" xfId="5"/>
    <cellStyle name="Millares_PPTO OFICIAL LP-SGT-SRN-001-2009" xfId="3"/>
    <cellStyle name="Moneda" xfId="2" builtinId="4"/>
    <cellStyle name="Moneda 2" xfId="17"/>
    <cellStyle name="Moneda 3" xfId="16"/>
    <cellStyle name="Moneda 3_PO BARBOSA PTO BERRIO 2" xfId="6"/>
    <cellStyle name="Normal" xfId="0" builtinId="0"/>
    <cellStyle name="Normal 12 2 2" xfId="13"/>
    <cellStyle name="Normal 2 2" xfId="8"/>
    <cellStyle name="Normal 3" xfId="12"/>
    <cellStyle name="Normal 3 2" xfId="15"/>
    <cellStyle name="Normal 4" xfId="11"/>
    <cellStyle name="Normal 4 2" xfId="14"/>
    <cellStyle name="Porcentaje" xfId="18" builtinId="5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66675</xdr:rowOff>
    </xdr:from>
    <xdr:to>
      <xdr:col>1</xdr:col>
      <xdr:colOff>419100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0</xdr:row>
      <xdr:rowOff>95250</xdr:rowOff>
    </xdr:from>
    <xdr:to>
      <xdr:col>7</xdr:col>
      <xdr:colOff>447675</xdr:colOff>
      <xdr:row>5</xdr:row>
      <xdr:rowOff>47625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95250"/>
          <a:ext cx="1152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1</xdr:col>
      <xdr:colOff>447675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55563</xdr:colOff>
      <xdr:row>0</xdr:row>
      <xdr:rowOff>68263</xdr:rowOff>
    </xdr:from>
    <xdr:to>
      <xdr:col>7</xdr:col>
      <xdr:colOff>407988</xdr:colOff>
      <xdr:row>5</xdr:row>
      <xdr:rowOff>14288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5238" y="68263"/>
          <a:ext cx="1114425" cy="89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17462</xdr:colOff>
      <xdr:row>0</xdr:row>
      <xdr:rowOff>128588</xdr:rowOff>
    </xdr:from>
    <xdr:to>
      <xdr:col>7</xdr:col>
      <xdr:colOff>455612</xdr:colOff>
      <xdr:row>5</xdr:row>
      <xdr:rowOff>73025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7137" y="128588"/>
          <a:ext cx="1200150" cy="89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76200</xdr:rowOff>
    </xdr:from>
    <xdr:to>
      <xdr:col>1</xdr:col>
      <xdr:colOff>409575</xdr:colOff>
      <xdr:row>6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61547</xdr:colOff>
      <xdr:row>1</xdr:row>
      <xdr:rowOff>8060</xdr:rowOff>
    </xdr:from>
    <xdr:to>
      <xdr:col>7</xdr:col>
      <xdr:colOff>604472</xdr:colOff>
      <xdr:row>6</xdr:row>
      <xdr:rowOff>122361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4452572" y="179510"/>
          <a:ext cx="1162050" cy="990601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157528</xdr:colOff>
      <xdr:row>0</xdr:row>
      <xdr:rowOff>128954</xdr:rowOff>
    </xdr:from>
    <xdr:to>
      <xdr:col>7</xdr:col>
      <xdr:colOff>601540</xdr:colOff>
      <xdr:row>5</xdr:row>
      <xdr:rowOff>79130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9528" y="128954"/>
          <a:ext cx="1206012" cy="9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914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167837</xdr:colOff>
      <xdr:row>0</xdr:row>
      <xdr:rowOff>157655</xdr:rowOff>
    </xdr:from>
    <xdr:to>
      <xdr:col>7</xdr:col>
      <xdr:colOff>604673</xdr:colOff>
      <xdr:row>5</xdr:row>
      <xdr:rowOff>91309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837" y="157655"/>
          <a:ext cx="1198836" cy="924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66675</xdr:rowOff>
    </xdr:from>
    <xdr:to>
      <xdr:col>1</xdr:col>
      <xdr:colOff>419100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0</xdr:row>
      <xdr:rowOff>11430</xdr:rowOff>
    </xdr:from>
    <xdr:to>
      <xdr:col>7</xdr:col>
      <xdr:colOff>586625</xdr:colOff>
      <xdr:row>5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4314825" y="11430"/>
          <a:ext cx="1177175" cy="99822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85725</xdr:rowOff>
    </xdr:from>
    <xdr:to>
      <xdr:col>7</xdr:col>
      <xdr:colOff>361950</xdr:colOff>
      <xdr:row>5</xdr:row>
      <xdr:rowOff>38100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85725"/>
          <a:ext cx="10572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1</xdr:col>
      <xdr:colOff>428625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133350</xdr:rowOff>
    </xdr:from>
    <xdr:to>
      <xdr:col>7</xdr:col>
      <xdr:colOff>409575</xdr:colOff>
      <xdr:row>5</xdr:row>
      <xdr:rowOff>85725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3350"/>
          <a:ext cx="990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0</xdr:row>
      <xdr:rowOff>85725</xdr:rowOff>
    </xdr:from>
    <xdr:to>
      <xdr:col>7</xdr:col>
      <xdr:colOff>409575</xdr:colOff>
      <xdr:row>5</xdr:row>
      <xdr:rowOff>57150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85725"/>
          <a:ext cx="10572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0</xdr:row>
      <xdr:rowOff>11430</xdr:rowOff>
    </xdr:from>
    <xdr:to>
      <xdr:col>7</xdr:col>
      <xdr:colOff>586625</xdr:colOff>
      <xdr:row>5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4314825" y="11430"/>
          <a:ext cx="1177175" cy="99822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142875</xdr:rowOff>
    </xdr:from>
    <xdr:to>
      <xdr:col>7</xdr:col>
      <xdr:colOff>438150</xdr:colOff>
      <xdr:row>5</xdr:row>
      <xdr:rowOff>95250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142875"/>
          <a:ext cx="10572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121854</xdr:colOff>
      <xdr:row>0</xdr:row>
      <xdr:rowOff>173093</xdr:rowOff>
    </xdr:from>
    <xdr:to>
      <xdr:col>7</xdr:col>
      <xdr:colOff>558691</xdr:colOff>
      <xdr:row>5</xdr:row>
      <xdr:rowOff>116272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854" y="173093"/>
          <a:ext cx="1198837" cy="9337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115887</xdr:colOff>
      <xdr:row>0</xdr:row>
      <xdr:rowOff>149225</xdr:rowOff>
    </xdr:from>
    <xdr:to>
      <xdr:col>7</xdr:col>
      <xdr:colOff>550862</xdr:colOff>
      <xdr:row>5</xdr:row>
      <xdr:rowOff>92075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887" y="149225"/>
          <a:ext cx="1196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177311</xdr:rowOff>
    </xdr:from>
    <xdr:to>
      <xdr:col>7</xdr:col>
      <xdr:colOff>616927</xdr:colOff>
      <xdr:row>5</xdr:row>
      <xdr:rowOff>126755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77311"/>
          <a:ext cx="1197952" cy="940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7</xdr:col>
      <xdr:colOff>571500</xdr:colOff>
      <xdr:row>5</xdr:row>
      <xdr:rowOff>133351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5038725" y="19050"/>
          <a:ext cx="1162050" cy="99060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381000</xdr:colOff>
      <xdr:row>0</xdr:row>
      <xdr:rowOff>57150</xdr:rowOff>
    </xdr:from>
    <xdr:to>
      <xdr:col>1</xdr:col>
      <xdr:colOff>533400</xdr:colOff>
      <xdr:row>5</xdr:row>
      <xdr:rowOff>85725</xdr:rowOff>
    </xdr:to>
    <xdr:pic>
      <xdr:nvPicPr>
        <xdr:cNvPr id="3" name="Imagen 5" descr="http://www.presidencia.gov.co/prensa_new/historia/escudo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5" name="Imagen 7" descr="http://www.presidencia.gov.co/prensa_new/historia/escudo.jpg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5" name="Imagen 4" descr="http://www.presidencia.gov.co/prensa_new/historia/escudo.jpg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142875</xdr:rowOff>
    </xdr:from>
    <xdr:to>
      <xdr:col>7</xdr:col>
      <xdr:colOff>590550</xdr:colOff>
      <xdr:row>5</xdr:row>
      <xdr:rowOff>104775</xdr:rowOff>
    </xdr:to>
    <xdr:pic>
      <xdr:nvPicPr>
        <xdr:cNvPr id="6" name="2 Imagen" descr="LOGO ANI.JPG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2875"/>
          <a:ext cx="1200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141515</xdr:colOff>
      <xdr:row>0</xdr:row>
      <xdr:rowOff>137432</xdr:rowOff>
    </xdr:from>
    <xdr:to>
      <xdr:col>7</xdr:col>
      <xdr:colOff>579665</xdr:colOff>
      <xdr:row>5</xdr:row>
      <xdr:rowOff>95251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3515" y="137432"/>
          <a:ext cx="1200150" cy="834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76200</xdr:rowOff>
    </xdr:from>
    <xdr:to>
      <xdr:col>1</xdr:col>
      <xdr:colOff>409575</xdr:colOff>
      <xdr:row>6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1</xdr:row>
      <xdr:rowOff>19050</xdr:rowOff>
    </xdr:from>
    <xdr:to>
      <xdr:col>7</xdr:col>
      <xdr:colOff>571500</xdr:colOff>
      <xdr:row>6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4314825" y="190500"/>
          <a:ext cx="1162050" cy="99060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76200</xdr:rowOff>
    </xdr:from>
    <xdr:to>
      <xdr:col>1</xdr:col>
      <xdr:colOff>428625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9575"/>
          <a:ext cx="1085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2</xdr:row>
      <xdr:rowOff>57150</xdr:rowOff>
    </xdr:from>
    <xdr:to>
      <xdr:col>7</xdr:col>
      <xdr:colOff>438150</xdr:colOff>
      <xdr:row>7</xdr:row>
      <xdr:rowOff>28575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90525"/>
          <a:ext cx="1143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09575"/>
          <a:ext cx="885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361950"/>
          <a:ext cx="1143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0</xdr:row>
      <xdr:rowOff>11430</xdr:rowOff>
    </xdr:from>
    <xdr:to>
      <xdr:col>7</xdr:col>
      <xdr:colOff>586625</xdr:colOff>
      <xdr:row>5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4314825" y="11430"/>
          <a:ext cx="1177175" cy="99822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76200</xdr:rowOff>
    </xdr:from>
    <xdr:to>
      <xdr:col>1</xdr:col>
      <xdr:colOff>447675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8858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0</xdr:row>
      <xdr:rowOff>95250</xdr:rowOff>
    </xdr:from>
    <xdr:to>
      <xdr:col>7</xdr:col>
      <xdr:colOff>419100</xdr:colOff>
      <xdr:row>5</xdr:row>
      <xdr:rowOff>47625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95250"/>
          <a:ext cx="1047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76200</xdr:rowOff>
    </xdr:from>
    <xdr:to>
      <xdr:col>1</xdr:col>
      <xdr:colOff>438150</xdr:colOff>
      <xdr:row>7</xdr:row>
      <xdr:rowOff>123825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466725"/>
          <a:ext cx="8858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28575</xdr:rowOff>
    </xdr:from>
    <xdr:to>
      <xdr:col>7</xdr:col>
      <xdr:colOff>409575</xdr:colOff>
      <xdr:row>7</xdr:row>
      <xdr:rowOff>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4191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76200</xdr:rowOff>
    </xdr:from>
    <xdr:to>
      <xdr:col>1</xdr:col>
      <xdr:colOff>438150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0</xdr:row>
      <xdr:rowOff>11430</xdr:rowOff>
    </xdr:from>
    <xdr:to>
      <xdr:col>7</xdr:col>
      <xdr:colOff>586625</xdr:colOff>
      <xdr:row>5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4905375" y="11430"/>
          <a:ext cx="1177175" cy="998221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771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153987</xdr:colOff>
      <xdr:row>0</xdr:row>
      <xdr:rowOff>131762</xdr:rowOff>
    </xdr:from>
    <xdr:to>
      <xdr:col>7</xdr:col>
      <xdr:colOff>595312</xdr:colOff>
      <xdr:row>5</xdr:row>
      <xdr:rowOff>77787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987" y="131762"/>
          <a:ext cx="1203325" cy="82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66675</xdr:rowOff>
    </xdr:from>
    <xdr:to>
      <xdr:col>1</xdr:col>
      <xdr:colOff>495300</xdr:colOff>
      <xdr:row>5</xdr:row>
      <xdr:rowOff>95250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914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163512</xdr:colOff>
      <xdr:row>0</xdr:row>
      <xdr:rowOff>144463</xdr:rowOff>
    </xdr:from>
    <xdr:to>
      <xdr:col>7</xdr:col>
      <xdr:colOff>600074</xdr:colOff>
      <xdr:row>5</xdr:row>
      <xdr:rowOff>87313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512" y="144463"/>
          <a:ext cx="1198562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76200</xdr:rowOff>
    </xdr:from>
    <xdr:to>
      <xdr:col>1</xdr:col>
      <xdr:colOff>428625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8763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0</xdr:row>
      <xdr:rowOff>104775</xdr:rowOff>
    </xdr:from>
    <xdr:to>
      <xdr:col>7</xdr:col>
      <xdr:colOff>352425</xdr:colOff>
      <xdr:row>5</xdr:row>
      <xdr:rowOff>57150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104775"/>
          <a:ext cx="990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76200</xdr:rowOff>
    </xdr:from>
    <xdr:to>
      <xdr:col>1</xdr:col>
      <xdr:colOff>447675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8953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142875</xdr:colOff>
      <xdr:row>0</xdr:row>
      <xdr:rowOff>104775</xdr:rowOff>
    </xdr:from>
    <xdr:to>
      <xdr:col>7</xdr:col>
      <xdr:colOff>428625</xdr:colOff>
      <xdr:row>5</xdr:row>
      <xdr:rowOff>57150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104775"/>
          <a:ext cx="10572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76200</xdr:rowOff>
    </xdr:from>
    <xdr:to>
      <xdr:col>1</xdr:col>
      <xdr:colOff>409575</xdr:colOff>
      <xdr:row>6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</xdr:colOff>
      <xdr:row>1</xdr:row>
      <xdr:rowOff>19050</xdr:rowOff>
    </xdr:from>
    <xdr:to>
      <xdr:col>7</xdr:col>
      <xdr:colOff>571500</xdr:colOff>
      <xdr:row>6</xdr:row>
      <xdr:rowOff>133351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143500" y="190500"/>
          <a:ext cx="1162050" cy="990601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76200</xdr:rowOff>
    </xdr:from>
    <xdr:to>
      <xdr:col>1</xdr:col>
      <xdr:colOff>428625</xdr:colOff>
      <xdr:row>5</xdr:row>
      <xdr:rowOff>104775</xdr:rowOff>
    </xdr:to>
    <xdr:pic>
      <xdr:nvPicPr>
        <xdr:cNvPr id="2" name="Imagen 1" descr="http://www.presidencia.gov.co/prensa_new/historia/escud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8572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23813</xdr:colOff>
      <xdr:row>0</xdr:row>
      <xdr:rowOff>50800</xdr:rowOff>
    </xdr:from>
    <xdr:to>
      <xdr:col>7</xdr:col>
      <xdr:colOff>423863</xdr:colOff>
      <xdr:row>4</xdr:row>
      <xdr:rowOff>158750</xdr:rowOff>
    </xdr:to>
    <xdr:pic>
      <xdr:nvPicPr>
        <xdr:cNvPr id="3" name="2 Imagen" descr="LOGO ANI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3963" y="50800"/>
          <a:ext cx="1162050" cy="898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ol/PEDRO/P1137/SEGUIMIENTO%20A%20LOS%20CONTRATOS%20OBRA/ESCENARIOS%20GENERALES/INFORMACI&#211;N%20GENERAL%20ANI/UTFC/NO%20PREVISTOS/Users/Concol.M1022/Downloads/MSE-FR-20%20ACTA%20DE%20COMITE%20TECNICO%20418_%20No%20previ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ol/PEDRO/P1137/SEGUIMIENTO%20A%20LOS%20CONTRATOS%20OBRA/ESCENARIOS%20GENERALES/INFORMACI&#211;N%20GENERAL%20ANI/UTFC/NO%20PREVISTOS/Users/Concol.M1022/Desktop/APU%20NP%20Aprobados%20CIV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ol/PEDRO/P1137/SEGUIMIENTO%20A%20LOS%20CONTRATOS%20OBRA/ESCENARIOS%20GENERALES/INFORMACI&#211;N%20GENERAL%20ANI/UTFC/NO%20PREVISTOS/APU%202011%20V.0/SANTANDER/APU%20Grupo%202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DE COMITE TECNICO"/>
    </sheetNames>
    <sheetDataSet>
      <sheetData sheetId="0">
        <row r="54">
          <cell r="V54">
            <v>50983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quipos"/>
      <sheetName val="Materiales"/>
      <sheetName val="Soporte Tuberia"/>
      <sheetName val="NP-01"/>
      <sheetName val="NP-02  (DEF)"/>
      <sheetName val="NP-03 (DEF)"/>
      <sheetName val="NP-04"/>
      <sheetName val="NP-05"/>
      <sheetName val="NP-06"/>
      <sheetName val="NP-07"/>
      <sheetName val="NP-08"/>
      <sheetName val="NP-09"/>
      <sheetName val="NP-10"/>
      <sheetName val="NP-11"/>
      <sheetName val="NP-12"/>
      <sheetName val="NP-13"/>
      <sheetName val="NP-14"/>
      <sheetName val="NP-15"/>
      <sheetName val="NP-16"/>
      <sheetName val="NP-17"/>
      <sheetName val="NP-18"/>
      <sheetName val="NP-19"/>
      <sheetName val="NP-20"/>
      <sheetName val="NP-21"/>
      <sheetName val="NP-22"/>
      <sheetName val="NP-023"/>
      <sheetName val="NP-024"/>
      <sheetName val="NP-025"/>
      <sheetName val="NP-026"/>
      <sheetName val="NP-27"/>
      <sheetName val="NP-028"/>
      <sheetName val="NP-29"/>
      <sheetName val="NP-030"/>
      <sheetName val="NP-031"/>
    </sheetNames>
    <sheetDataSet>
      <sheetData sheetId="0" refreshError="1"/>
      <sheetData sheetId="1" refreshError="1">
        <row r="3">
          <cell r="B3">
            <v>1000000</v>
          </cell>
        </row>
        <row r="4">
          <cell r="B4">
            <v>6000</v>
          </cell>
        </row>
        <row r="5">
          <cell r="B5">
            <v>40000</v>
          </cell>
        </row>
        <row r="6">
          <cell r="B6">
            <v>8000</v>
          </cell>
        </row>
        <row r="7">
          <cell r="B7">
            <v>10000</v>
          </cell>
        </row>
        <row r="10">
          <cell r="B10">
            <v>30000</v>
          </cell>
        </row>
        <row r="17">
          <cell r="B17">
            <v>9700</v>
          </cell>
        </row>
      </sheetData>
      <sheetData sheetId="2" refreshError="1">
        <row r="3">
          <cell r="F3">
            <v>117392</v>
          </cell>
        </row>
        <row r="41">
          <cell r="F41">
            <v>8000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resupuesto"/>
      <sheetName val="PORTADA"/>
      <sheetName val="INDICE"/>
      <sheetName val="Equipo"/>
      <sheetName val="materiales"/>
      <sheetName val="otros"/>
      <sheetName val="200P1"/>
      <sheetName val="200P2"/>
      <sheetName val="200.1"/>
      <sheetName val="200.2"/>
      <sheetName val="201.1P"/>
      <sheetName val="201.7P"/>
      <sheetName val="201.7P1"/>
      <sheetName val="201.7P2"/>
      <sheetName val="201.9P"/>
      <sheetName val="201.8P"/>
      <sheetName val="201.4"/>
      <sheetName val="201.10"/>
      <sheetName val="201.11"/>
      <sheetName val="201. 12"/>
      <sheetName val="201. 13"/>
      <sheetName val="201.14"/>
      <sheetName val="201.15"/>
      <sheetName val="201.16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25P"/>
      <sheetName val="230.1"/>
      <sheetName val="230.2"/>
      <sheetName val="231.1"/>
      <sheetName val="232.1"/>
      <sheetName val="234.1"/>
      <sheetName val="310.1"/>
      <sheetName val="311.1"/>
      <sheetName val="311P1"/>
      <sheetName val="311P2"/>
      <sheetName val="311P3"/>
      <sheetName val="312.1"/>
      <sheetName val="312.2"/>
      <sheetName val="312.3"/>
      <sheetName val="312.4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2.1"/>
      <sheetName val="342P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1.1"/>
      <sheetName val="441.1P"/>
      <sheetName val="441.2"/>
      <sheetName val="441.2P"/>
      <sheetName val="441.3"/>
      <sheetName val="441.3P"/>
      <sheetName val="441.4"/>
      <sheetName val="450. 1"/>
      <sheetName val="450. 1P"/>
      <sheetName val="450. 2"/>
      <sheetName val="450. 2P"/>
      <sheetName val="450. 3"/>
      <sheetName val="450. 3P"/>
      <sheetName val="450.9"/>
      <sheetName val="451.1"/>
      <sheetName val="451.1P"/>
      <sheetName val="451.2"/>
      <sheetName val="451.2P"/>
      <sheetName val="451.3"/>
      <sheetName val="451.3P"/>
      <sheetName val="451.4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"/>
      <sheetName val="460. 1P"/>
      <sheetName val="461.1"/>
      <sheetName val="461.2"/>
      <sheetName val="462.1"/>
      <sheetName val="462.2"/>
      <sheetName val="462.1P"/>
      <sheetName val="462.2P"/>
      <sheetName val="462.3P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1P"/>
      <sheetName val="621.2"/>
      <sheetName val="621.3"/>
      <sheetName val="621.4"/>
      <sheetName val="621.5"/>
      <sheetName val="621.5P1"/>
      <sheetName val="621.5P2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2"/>
      <sheetName val="630.3"/>
      <sheetName val="630.4"/>
      <sheetName val="630.5"/>
      <sheetName val="630.5P"/>
      <sheetName val="630.6"/>
      <sheetName val="630.7"/>
      <sheetName val="630.P1"/>
      <sheetName val="630.P2"/>
      <sheetName val="630.P3"/>
      <sheetName val="631P"/>
      <sheetName val="632.1"/>
      <sheetName val="632.P"/>
      <sheetName val="640.1"/>
      <sheetName val="640.1P1"/>
      <sheetName val="640.1P2"/>
      <sheetName val="640.1P3"/>
      <sheetName val="640.2"/>
      <sheetName val="641.1"/>
      <sheetName val="641.2"/>
      <sheetName val="641.P"/>
      <sheetName val="642.1"/>
      <sheetName val="642.1P"/>
      <sheetName val="642.2"/>
      <sheetName val="642.2P"/>
      <sheetName val="650.1"/>
      <sheetName val="650.2"/>
      <sheetName val="650.3"/>
      <sheetName val="650.4"/>
      <sheetName val="660.1"/>
      <sheetName val="660.2"/>
      <sheetName val="660.3"/>
      <sheetName val="661.1"/>
      <sheetName val="661.1P"/>
      <sheetName val="662.1"/>
      <sheetName val="662.2"/>
      <sheetName val="670.1"/>
      <sheetName val="670.2"/>
      <sheetName val="671.1"/>
      <sheetName val="671.2"/>
      <sheetName val="672.1"/>
      <sheetName val="672.1P"/>
      <sheetName val="673.1"/>
      <sheetName val="673.2"/>
      <sheetName val="673.3"/>
      <sheetName val="674.1"/>
      <sheetName val="674.2"/>
      <sheetName val="680.1"/>
      <sheetName val="680.1P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0.P"/>
      <sheetName val="701.1"/>
      <sheetName val="710.1"/>
      <sheetName val="710.2"/>
      <sheetName val="710.P1"/>
      <sheetName val="710.P2"/>
      <sheetName val="710.P3"/>
      <sheetName val="710.P4"/>
      <sheetName val="710.P5"/>
      <sheetName val="720.1"/>
      <sheetName val="730.1"/>
      <sheetName val="730.2"/>
      <sheetName val="730.3"/>
      <sheetName val="731.1"/>
      <sheetName val="740.1"/>
      <sheetName val="741.1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"/>
      <sheetName val="812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>
        <row r="32">
          <cell r="A32" t="str">
            <v>Cemento</v>
          </cell>
        </row>
      </sheetData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GH516"/>
  <sheetViews>
    <sheetView tabSelected="1" topLeftCell="B1" zoomScaleNormal="100" workbookViewId="0">
      <selection activeCell="B3" sqref="B3:I3"/>
    </sheetView>
  </sheetViews>
  <sheetFormatPr baseColWidth="10" defaultRowHeight="13.5" x14ac:dyDescent="0.25"/>
  <cols>
    <col min="1" max="1" width="3.85546875" style="42" customWidth="1"/>
    <col min="2" max="2" width="4.28515625" style="22" customWidth="1"/>
    <col min="3" max="3" width="79.7109375" style="1" customWidth="1"/>
    <col min="4" max="4" width="8.7109375" style="1" customWidth="1"/>
    <col min="5" max="5" width="15.7109375" style="23" customWidth="1"/>
    <col min="6" max="6" width="17.28515625" style="24" customWidth="1"/>
    <col min="7" max="7" width="24.85546875" style="1" bestFit="1" customWidth="1"/>
    <col min="8" max="9" width="24.85546875" style="1" customWidth="1"/>
    <col min="10" max="10" width="15.85546875" style="25" bestFit="1" customWidth="1"/>
    <col min="11" max="188" width="11.42578125" style="25"/>
    <col min="189" max="231" width="11.42578125" style="1"/>
    <col min="232" max="232" width="4.28515625" style="1" customWidth="1"/>
    <col min="233" max="233" width="74.7109375" style="1" customWidth="1"/>
    <col min="234" max="234" width="8.7109375" style="1" customWidth="1"/>
    <col min="235" max="235" width="14.140625" style="1" customWidth="1"/>
    <col min="236" max="236" width="17.28515625" style="1" customWidth="1"/>
    <col min="237" max="237" width="24.85546875" style="1" bestFit="1" customWidth="1"/>
    <col min="238" max="238" width="19" style="1" bestFit="1" customWidth="1"/>
    <col min="239" max="487" width="11.42578125" style="1"/>
    <col min="488" max="488" width="4.28515625" style="1" customWidth="1"/>
    <col min="489" max="489" width="74.7109375" style="1" customWidth="1"/>
    <col min="490" max="490" width="8.7109375" style="1" customWidth="1"/>
    <col min="491" max="491" width="14.140625" style="1" customWidth="1"/>
    <col min="492" max="492" width="17.28515625" style="1" customWidth="1"/>
    <col min="493" max="493" width="24.85546875" style="1" bestFit="1" customWidth="1"/>
    <col min="494" max="494" width="19" style="1" bestFit="1" customWidth="1"/>
    <col min="495" max="743" width="11.42578125" style="1"/>
    <col min="744" max="744" width="4.28515625" style="1" customWidth="1"/>
    <col min="745" max="745" width="74.7109375" style="1" customWidth="1"/>
    <col min="746" max="746" width="8.7109375" style="1" customWidth="1"/>
    <col min="747" max="747" width="14.140625" style="1" customWidth="1"/>
    <col min="748" max="748" width="17.28515625" style="1" customWidth="1"/>
    <col min="749" max="749" width="24.85546875" style="1" bestFit="1" customWidth="1"/>
    <col min="750" max="750" width="19" style="1" bestFit="1" customWidth="1"/>
    <col min="751" max="999" width="11.42578125" style="1"/>
    <col min="1000" max="1000" width="4.28515625" style="1" customWidth="1"/>
    <col min="1001" max="1001" width="74.7109375" style="1" customWidth="1"/>
    <col min="1002" max="1002" width="8.7109375" style="1" customWidth="1"/>
    <col min="1003" max="1003" width="14.140625" style="1" customWidth="1"/>
    <col min="1004" max="1004" width="17.28515625" style="1" customWidth="1"/>
    <col min="1005" max="1005" width="24.85546875" style="1" bestFit="1" customWidth="1"/>
    <col min="1006" max="1006" width="19" style="1" bestFit="1" customWidth="1"/>
    <col min="1007" max="1255" width="11.42578125" style="1"/>
    <col min="1256" max="1256" width="4.28515625" style="1" customWidth="1"/>
    <col min="1257" max="1257" width="74.7109375" style="1" customWidth="1"/>
    <col min="1258" max="1258" width="8.7109375" style="1" customWidth="1"/>
    <col min="1259" max="1259" width="14.140625" style="1" customWidth="1"/>
    <col min="1260" max="1260" width="17.28515625" style="1" customWidth="1"/>
    <col min="1261" max="1261" width="24.85546875" style="1" bestFit="1" customWidth="1"/>
    <col min="1262" max="1262" width="19" style="1" bestFit="1" customWidth="1"/>
    <col min="1263" max="1511" width="11.42578125" style="1"/>
    <col min="1512" max="1512" width="4.28515625" style="1" customWidth="1"/>
    <col min="1513" max="1513" width="74.7109375" style="1" customWidth="1"/>
    <col min="1514" max="1514" width="8.7109375" style="1" customWidth="1"/>
    <col min="1515" max="1515" width="14.140625" style="1" customWidth="1"/>
    <col min="1516" max="1516" width="17.28515625" style="1" customWidth="1"/>
    <col min="1517" max="1517" width="24.85546875" style="1" bestFit="1" customWidth="1"/>
    <col min="1518" max="1518" width="19" style="1" bestFit="1" customWidth="1"/>
    <col min="1519" max="1767" width="11.42578125" style="1"/>
    <col min="1768" max="1768" width="4.28515625" style="1" customWidth="1"/>
    <col min="1769" max="1769" width="74.7109375" style="1" customWidth="1"/>
    <col min="1770" max="1770" width="8.7109375" style="1" customWidth="1"/>
    <col min="1771" max="1771" width="14.140625" style="1" customWidth="1"/>
    <col min="1772" max="1772" width="17.28515625" style="1" customWidth="1"/>
    <col min="1773" max="1773" width="24.85546875" style="1" bestFit="1" customWidth="1"/>
    <col min="1774" max="1774" width="19" style="1" bestFit="1" customWidth="1"/>
    <col min="1775" max="2023" width="11.42578125" style="1"/>
    <col min="2024" max="2024" width="4.28515625" style="1" customWidth="1"/>
    <col min="2025" max="2025" width="74.7109375" style="1" customWidth="1"/>
    <col min="2026" max="2026" width="8.7109375" style="1" customWidth="1"/>
    <col min="2027" max="2027" width="14.140625" style="1" customWidth="1"/>
    <col min="2028" max="2028" width="17.28515625" style="1" customWidth="1"/>
    <col min="2029" max="2029" width="24.85546875" style="1" bestFit="1" customWidth="1"/>
    <col min="2030" max="2030" width="19" style="1" bestFit="1" customWidth="1"/>
    <col min="2031" max="2279" width="11.42578125" style="1"/>
    <col min="2280" max="2280" width="4.28515625" style="1" customWidth="1"/>
    <col min="2281" max="2281" width="74.7109375" style="1" customWidth="1"/>
    <col min="2282" max="2282" width="8.7109375" style="1" customWidth="1"/>
    <col min="2283" max="2283" width="14.140625" style="1" customWidth="1"/>
    <col min="2284" max="2284" width="17.28515625" style="1" customWidth="1"/>
    <col min="2285" max="2285" width="24.85546875" style="1" bestFit="1" customWidth="1"/>
    <col min="2286" max="2286" width="19" style="1" bestFit="1" customWidth="1"/>
    <col min="2287" max="2535" width="11.42578125" style="1"/>
    <col min="2536" max="2536" width="4.28515625" style="1" customWidth="1"/>
    <col min="2537" max="2537" width="74.7109375" style="1" customWidth="1"/>
    <col min="2538" max="2538" width="8.7109375" style="1" customWidth="1"/>
    <col min="2539" max="2539" width="14.140625" style="1" customWidth="1"/>
    <col min="2540" max="2540" width="17.28515625" style="1" customWidth="1"/>
    <col min="2541" max="2541" width="24.85546875" style="1" bestFit="1" customWidth="1"/>
    <col min="2542" max="2542" width="19" style="1" bestFit="1" customWidth="1"/>
    <col min="2543" max="2791" width="11.42578125" style="1"/>
    <col min="2792" max="2792" width="4.28515625" style="1" customWidth="1"/>
    <col min="2793" max="2793" width="74.7109375" style="1" customWidth="1"/>
    <col min="2794" max="2794" width="8.7109375" style="1" customWidth="1"/>
    <col min="2795" max="2795" width="14.140625" style="1" customWidth="1"/>
    <col min="2796" max="2796" width="17.28515625" style="1" customWidth="1"/>
    <col min="2797" max="2797" width="24.85546875" style="1" bestFit="1" customWidth="1"/>
    <col min="2798" max="2798" width="19" style="1" bestFit="1" customWidth="1"/>
    <col min="2799" max="3047" width="11.42578125" style="1"/>
    <col min="3048" max="3048" width="4.28515625" style="1" customWidth="1"/>
    <col min="3049" max="3049" width="74.7109375" style="1" customWidth="1"/>
    <col min="3050" max="3050" width="8.7109375" style="1" customWidth="1"/>
    <col min="3051" max="3051" width="14.140625" style="1" customWidth="1"/>
    <col min="3052" max="3052" width="17.28515625" style="1" customWidth="1"/>
    <col min="3053" max="3053" width="24.85546875" style="1" bestFit="1" customWidth="1"/>
    <col min="3054" max="3054" width="19" style="1" bestFit="1" customWidth="1"/>
    <col min="3055" max="3303" width="11.42578125" style="1"/>
    <col min="3304" max="3304" width="4.28515625" style="1" customWidth="1"/>
    <col min="3305" max="3305" width="74.7109375" style="1" customWidth="1"/>
    <col min="3306" max="3306" width="8.7109375" style="1" customWidth="1"/>
    <col min="3307" max="3307" width="14.140625" style="1" customWidth="1"/>
    <col min="3308" max="3308" width="17.28515625" style="1" customWidth="1"/>
    <col min="3309" max="3309" width="24.85546875" style="1" bestFit="1" customWidth="1"/>
    <col min="3310" max="3310" width="19" style="1" bestFit="1" customWidth="1"/>
    <col min="3311" max="3559" width="11.42578125" style="1"/>
    <col min="3560" max="3560" width="4.28515625" style="1" customWidth="1"/>
    <col min="3561" max="3561" width="74.7109375" style="1" customWidth="1"/>
    <col min="3562" max="3562" width="8.7109375" style="1" customWidth="1"/>
    <col min="3563" max="3563" width="14.140625" style="1" customWidth="1"/>
    <col min="3564" max="3564" width="17.28515625" style="1" customWidth="1"/>
    <col min="3565" max="3565" width="24.85546875" style="1" bestFit="1" customWidth="1"/>
    <col min="3566" max="3566" width="19" style="1" bestFit="1" customWidth="1"/>
    <col min="3567" max="3815" width="11.42578125" style="1"/>
    <col min="3816" max="3816" width="4.28515625" style="1" customWidth="1"/>
    <col min="3817" max="3817" width="74.7109375" style="1" customWidth="1"/>
    <col min="3818" max="3818" width="8.7109375" style="1" customWidth="1"/>
    <col min="3819" max="3819" width="14.140625" style="1" customWidth="1"/>
    <col min="3820" max="3820" width="17.28515625" style="1" customWidth="1"/>
    <col min="3821" max="3821" width="24.85546875" style="1" bestFit="1" customWidth="1"/>
    <col min="3822" max="3822" width="19" style="1" bestFit="1" customWidth="1"/>
    <col min="3823" max="4071" width="11.42578125" style="1"/>
    <col min="4072" max="4072" width="4.28515625" style="1" customWidth="1"/>
    <col min="4073" max="4073" width="74.7109375" style="1" customWidth="1"/>
    <col min="4074" max="4074" width="8.7109375" style="1" customWidth="1"/>
    <col min="4075" max="4075" width="14.140625" style="1" customWidth="1"/>
    <col min="4076" max="4076" width="17.28515625" style="1" customWidth="1"/>
    <col min="4077" max="4077" width="24.85546875" style="1" bestFit="1" customWidth="1"/>
    <col min="4078" max="4078" width="19" style="1" bestFit="1" customWidth="1"/>
    <col min="4079" max="4327" width="11.42578125" style="1"/>
    <col min="4328" max="4328" width="4.28515625" style="1" customWidth="1"/>
    <col min="4329" max="4329" width="74.7109375" style="1" customWidth="1"/>
    <col min="4330" max="4330" width="8.7109375" style="1" customWidth="1"/>
    <col min="4331" max="4331" width="14.140625" style="1" customWidth="1"/>
    <col min="4332" max="4332" width="17.28515625" style="1" customWidth="1"/>
    <col min="4333" max="4333" width="24.85546875" style="1" bestFit="1" customWidth="1"/>
    <col min="4334" max="4334" width="19" style="1" bestFit="1" customWidth="1"/>
    <col min="4335" max="4583" width="11.42578125" style="1"/>
    <col min="4584" max="4584" width="4.28515625" style="1" customWidth="1"/>
    <col min="4585" max="4585" width="74.7109375" style="1" customWidth="1"/>
    <col min="4586" max="4586" width="8.7109375" style="1" customWidth="1"/>
    <col min="4587" max="4587" width="14.140625" style="1" customWidth="1"/>
    <col min="4588" max="4588" width="17.28515625" style="1" customWidth="1"/>
    <col min="4589" max="4589" width="24.85546875" style="1" bestFit="1" customWidth="1"/>
    <col min="4590" max="4590" width="19" style="1" bestFit="1" customWidth="1"/>
    <col min="4591" max="4839" width="11.42578125" style="1"/>
    <col min="4840" max="4840" width="4.28515625" style="1" customWidth="1"/>
    <col min="4841" max="4841" width="74.7109375" style="1" customWidth="1"/>
    <col min="4842" max="4842" width="8.7109375" style="1" customWidth="1"/>
    <col min="4843" max="4843" width="14.140625" style="1" customWidth="1"/>
    <col min="4844" max="4844" width="17.28515625" style="1" customWidth="1"/>
    <col min="4845" max="4845" width="24.85546875" style="1" bestFit="1" customWidth="1"/>
    <col min="4846" max="4846" width="19" style="1" bestFit="1" customWidth="1"/>
    <col min="4847" max="5095" width="11.42578125" style="1"/>
    <col min="5096" max="5096" width="4.28515625" style="1" customWidth="1"/>
    <col min="5097" max="5097" width="74.7109375" style="1" customWidth="1"/>
    <col min="5098" max="5098" width="8.7109375" style="1" customWidth="1"/>
    <col min="5099" max="5099" width="14.140625" style="1" customWidth="1"/>
    <col min="5100" max="5100" width="17.28515625" style="1" customWidth="1"/>
    <col min="5101" max="5101" width="24.85546875" style="1" bestFit="1" customWidth="1"/>
    <col min="5102" max="5102" width="19" style="1" bestFit="1" customWidth="1"/>
    <col min="5103" max="5351" width="11.42578125" style="1"/>
    <col min="5352" max="5352" width="4.28515625" style="1" customWidth="1"/>
    <col min="5353" max="5353" width="74.7109375" style="1" customWidth="1"/>
    <col min="5354" max="5354" width="8.7109375" style="1" customWidth="1"/>
    <col min="5355" max="5355" width="14.140625" style="1" customWidth="1"/>
    <col min="5356" max="5356" width="17.28515625" style="1" customWidth="1"/>
    <col min="5357" max="5357" width="24.85546875" style="1" bestFit="1" customWidth="1"/>
    <col min="5358" max="5358" width="19" style="1" bestFit="1" customWidth="1"/>
    <col min="5359" max="5607" width="11.42578125" style="1"/>
    <col min="5608" max="5608" width="4.28515625" style="1" customWidth="1"/>
    <col min="5609" max="5609" width="74.7109375" style="1" customWidth="1"/>
    <col min="5610" max="5610" width="8.7109375" style="1" customWidth="1"/>
    <col min="5611" max="5611" width="14.140625" style="1" customWidth="1"/>
    <col min="5612" max="5612" width="17.28515625" style="1" customWidth="1"/>
    <col min="5613" max="5613" width="24.85546875" style="1" bestFit="1" customWidth="1"/>
    <col min="5614" max="5614" width="19" style="1" bestFit="1" customWidth="1"/>
    <col min="5615" max="5863" width="11.42578125" style="1"/>
    <col min="5864" max="5864" width="4.28515625" style="1" customWidth="1"/>
    <col min="5865" max="5865" width="74.7109375" style="1" customWidth="1"/>
    <col min="5866" max="5866" width="8.7109375" style="1" customWidth="1"/>
    <col min="5867" max="5867" width="14.140625" style="1" customWidth="1"/>
    <col min="5868" max="5868" width="17.28515625" style="1" customWidth="1"/>
    <col min="5869" max="5869" width="24.85546875" style="1" bestFit="1" customWidth="1"/>
    <col min="5870" max="5870" width="19" style="1" bestFit="1" customWidth="1"/>
    <col min="5871" max="6119" width="11.42578125" style="1"/>
    <col min="6120" max="6120" width="4.28515625" style="1" customWidth="1"/>
    <col min="6121" max="6121" width="74.7109375" style="1" customWidth="1"/>
    <col min="6122" max="6122" width="8.7109375" style="1" customWidth="1"/>
    <col min="6123" max="6123" width="14.140625" style="1" customWidth="1"/>
    <col min="6124" max="6124" width="17.28515625" style="1" customWidth="1"/>
    <col min="6125" max="6125" width="24.85546875" style="1" bestFit="1" customWidth="1"/>
    <col min="6126" max="6126" width="19" style="1" bestFit="1" customWidth="1"/>
    <col min="6127" max="6375" width="11.42578125" style="1"/>
    <col min="6376" max="6376" width="4.28515625" style="1" customWidth="1"/>
    <col min="6377" max="6377" width="74.7109375" style="1" customWidth="1"/>
    <col min="6378" max="6378" width="8.7109375" style="1" customWidth="1"/>
    <col min="6379" max="6379" width="14.140625" style="1" customWidth="1"/>
    <col min="6380" max="6380" width="17.28515625" style="1" customWidth="1"/>
    <col min="6381" max="6381" width="24.85546875" style="1" bestFit="1" customWidth="1"/>
    <col min="6382" max="6382" width="19" style="1" bestFit="1" customWidth="1"/>
    <col min="6383" max="6631" width="11.42578125" style="1"/>
    <col min="6632" max="6632" width="4.28515625" style="1" customWidth="1"/>
    <col min="6633" max="6633" width="74.7109375" style="1" customWidth="1"/>
    <col min="6634" max="6634" width="8.7109375" style="1" customWidth="1"/>
    <col min="6635" max="6635" width="14.140625" style="1" customWidth="1"/>
    <col min="6636" max="6636" width="17.28515625" style="1" customWidth="1"/>
    <col min="6637" max="6637" width="24.85546875" style="1" bestFit="1" customWidth="1"/>
    <col min="6638" max="6638" width="19" style="1" bestFit="1" customWidth="1"/>
    <col min="6639" max="6887" width="11.42578125" style="1"/>
    <col min="6888" max="6888" width="4.28515625" style="1" customWidth="1"/>
    <col min="6889" max="6889" width="74.7109375" style="1" customWidth="1"/>
    <col min="6890" max="6890" width="8.7109375" style="1" customWidth="1"/>
    <col min="6891" max="6891" width="14.140625" style="1" customWidth="1"/>
    <col min="6892" max="6892" width="17.28515625" style="1" customWidth="1"/>
    <col min="6893" max="6893" width="24.85546875" style="1" bestFit="1" customWidth="1"/>
    <col min="6894" max="6894" width="19" style="1" bestFit="1" customWidth="1"/>
    <col min="6895" max="7143" width="11.42578125" style="1"/>
    <col min="7144" max="7144" width="4.28515625" style="1" customWidth="1"/>
    <col min="7145" max="7145" width="74.7109375" style="1" customWidth="1"/>
    <col min="7146" max="7146" width="8.7109375" style="1" customWidth="1"/>
    <col min="7147" max="7147" width="14.140625" style="1" customWidth="1"/>
    <col min="7148" max="7148" width="17.28515625" style="1" customWidth="1"/>
    <col min="7149" max="7149" width="24.85546875" style="1" bestFit="1" customWidth="1"/>
    <col min="7150" max="7150" width="19" style="1" bestFit="1" customWidth="1"/>
    <col min="7151" max="7399" width="11.42578125" style="1"/>
    <col min="7400" max="7400" width="4.28515625" style="1" customWidth="1"/>
    <col min="7401" max="7401" width="74.7109375" style="1" customWidth="1"/>
    <col min="7402" max="7402" width="8.7109375" style="1" customWidth="1"/>
    <col min="7403" max="7403" width="14.140625" style="1" customWidth="1"/>
    <col min="7404" max="7404" width="17.28515625" style="1" customWidth="1"/>
    <col min="7405" max="7405" width="24.85546875" style="1" bestFit="1" customWidth="1"/>
    <col min="7406" max="7406" width="19" style="1" bestFit="1" customWidth="1"/>
    <col min="7407" max="7655" width="11.42578125" style="1"/>
    <col min="7656" max="7656" width="4.28515625" style="1" customWidth="1"/>
    <col min="7657" max="7657" width="74.7109375" style="1" customWidth="1"/>
    <col min="7658" max="7658" width="8.7109375" style="1" customWidth="1"/>
    <col min="7659" max="7659" width="14.140625" style="1" customWidth="1"/>
    <col min="7660" max="7660" width="17.28515625" style="1" customWidth="1"/>
    <col min="7661" max="7661" width="24.85546875" style="1" bestFit="1" customWidth="1"/>
    <col min="7662" max="7662" width="19" style="1" bestFit="1" customWidth="1"/>
    <col min="7663" max="7911" width="11.42578125" style="1"/>
    <col min="7912" max="7912" width="4.28515625" style="1" customWidth="1"/>
    <col min="7913" max="7913" width="74.7109375" style="1" customWidth="1"/>
    <col min="7914" max="7914" width="8.7109375" style="1" customWidth="1"/>
    <col min="7915" max="7915" width="14.140625" style="1" customWidth="1"/>
    <col min="7916" max="7916" width="17.28515625" style="1" customWidth="1"/>
    <col min="7917" max="7917" width="24.85546875" style="1" bestFit="1" customWidth="1"/>
    <col min="7918" max="7918" width="19" style="1" bestFit="1" customWidth="1"/>
    <col min="7919" max="8167" width="11.42578125" style="1"/>
    <col min="8168" max="8168" width="4.28515625" style="1" customWidth="1"/>
    <col min="8169" max="8169" width="74.7109375" style="1" customWidth="1"/>
    <col min="8170" max="8170" width="8.7109375" style="1" customWidth="1"/>
    <col min="8171" max="8171" width="14.140625" style="1" customWidth="1"/>
    <col min="8172" max="8172" width="17.28515625" style="1" customWidth="1"/>
    <col min="8173" max="8173" width="24.85546875" style="1" bestFit="1" customWidth="1"/>
    <col min="8174" max="8174" width="19" style="1" bestFit="1" customWidth="1"/>
    <col min="8175" max="8423" width="11.42578125" style="1"/>
    <col min="8424" max="8424" width="4.28515625" style="1" customWidth="1"/>
    <col min="8425" max="8425" width="74.7109375" style="1" customWidth="1"/>
    <col min="8426" max="8426" width="8.7109375" style="1" customWidth="1"/>
    <col min="8427" max="8427" width="14.140625" style="1" customWidth="1"/>
    <col min="8428" max="8428" width="17.28515625" style="1" customWidth="1"/>
    <col min="8429" max="8429" width="24.85546875" style="1" bestFit="1" customWidth="1"/>
    <col min="8430" max="8430" width="19" style="1" bestFit="1" customWidth="1"/>
    <col min="8431" max="8679" width="11.42578125" style="1"/>
    <col min="8680" max="8680" width="4.28515625" style="1" customWidth="1"/>
    <col min="8681" max="8681" width="74.7109375" style="1" customWidth="1"/>
    <col min="8682" max="8682" width="8.7109375" style="1" customWidth="1"/>
    <col min="8683" max="8683" width="14.140625" style="1" customWidth="1"/>
    <col min="8684" max="8684" width="17.28515625" style="1" customWidth="1"/>
    <col min="8685" max="8685" width="24.85546875" style="1" bestFit="1" customWidth="1"/>
    <col min="8686" max="8686" width="19" style="1" bestFit="1" customWidth="1"/>
    <col min="8687" max="8935" width="11.42578125" style="1"/>
    <col min="8936" max="8936" width="4.28515625" style="1" customWidth="1"/>
    <col min="8937" max="8937" width="74.7109375" style="1" customWidth="1"/>
    <col min="8938" max="8938" width="8.7109375" style="1" customWidth="1"/>
    <col min="8939" max="8939" width="14.140625" style="1" customWidth="1"/>
    <col min="8940" max="8940" width="17.28515625" style="1" customWidth="1"/>
    <col min="8941" max="8941" width="24.85546875" style="1" bestFit="1" customWidth="1"/>
    <col min="8942" max="8942" width="19" style="1" bestFit="1" customWidth="1"/>
    <col min="8943" max="9191" width="11.42578125" style="1"/>
    <col min="9192" max="9192" width="4.28515625" style="1" customWidth="1"/>
    <col min="9193" max="9193" width="74.7109375" style="1" customWidth="1"/>
    <col min="9194" max="9194" width="8.7109375" style="1" customWidth="1"/>
    <col min="9195" max="9195" width="14.140625" style="1" customWidth="1"/>
    <col min="9196" max="9196" width="17.28515625" style="1" customWidth="1"/>
    <col min="9197" max="9197" width="24.85546875" style="1" bestFit="1" customWidth="1"/>
    <col min="9198" max="9198" width="19" style="1" bestFit="1" customWidth="1"/>
    <col min="9199" max="9447" width="11.42578125" style="1"/>
    <col min="9448" max="9448" width="4.28515625" style="1" customWidth="1"/>
    <col min="9449" max="9449" width="74.7109375" style="1" customWidth="1"/>
    <col min="9450" max="9450" width="8.7109375" style="1" customWidth="1"/>
    <col min="9451" max="9451" width="14.140625" style="1" customWidth="1"/>
    <col min="9452" max="9452" width="17.28515625" style="1" customWidth="1"/>
    <col min="9453" max="9453" width="24.85546875" style="1" bestFit="1" customWidth="1"/>
    <col min="9454" max="9454" width="19" style="1" bestFit="1" customWidth="1"/>
    <col min="9455" max="9703" width="11.42578125" style="1"/>
    <col min="9704" max="9704" width="4.28515625" style="1" customWidth="1"/>
    <col min="9705" max="9705" width="74.7109375" style="1" customWidth="1"/>
    <col min="9706" max="9706" width="8.7109375" style="1" customWidth="1"/>
    <col min="9707" max="9707" width="14.140625" style="1" customWidth="1"/>
    <col min="9708" max="9708" width="17.28515625" style="1" customWidth="1"/>
    <col min="9709" max="9709" width="24.85546875" style="1" bestFit="1" customWidth="1"/>
    <col min="9710" max="9710" width="19" style="1" bestFit="1" customWidth="1"/>
    <col min="9711" max="9959" width="11.42578125" style="1"/>
    <col min="9960" max="9960" width="4.28515625" style="1" customWidth="1"/>
    <col min="9961" max="9961" width="74.7109375" style="1" customWidth="1"/>
    <col min="9962" max="9962" width="8.7109375" style="1" customWidth="1"/>
    <col min="9963" max="9963" width="14.140625" style="1" customWidth="1"/>
    <col min="9964" max="9964" width="17.28515625" style="1" customWidth="1"/>
    <col min="9965" max="9965" width="24.85546875" style="1" bestFit="1" customWidth="1"/>
    <col min="9966" max="9966" width="19" style="1" bestFit="1" customWidth="1"/>
    <col min="9967" max="10215" width="11.42578125" style="1"/>
    <col min="10216" max="10216" width="4.28515625" style="1" customWidth="1"/>
    <col min="10217" max="10217" width="74.7109375" style="1" customWidth="1"/>
    <col min="10218" max="10218" width="8.7109375" style="1" customWidth="1"/>
    <col min="10219" max="10219" width="14.140625" style="1" customWidth="1"/>
    <col min="10220" max="10220" width="17.28515625" style="1" customWidth="1"/>
    <col min="10221" max="10221" width="24.85546875" style="1" bestFit="1" customWidth="1"/>
    <col min="10222" max="10222" width="19" style="1" bestFit="1" customWidth="1"/>
    <col min="10223" max="10471" width="11.42578125" style="1"/>
    <col min="10472" max="10472" width="4.28515625" style="1" customWidth="1"/>
    <col min="10473" max="10473" width="74.7109375" style="1" customWidth="1"/>
    <col min="10474" max="10474" width="8.7109375" style="1" customWidth="1"/>
    <col min="10475" max="10475" width="14.140625" style="1" customWidth="1"/>
    <col min="10476" max="10476" width="17.28515625" style="1" customWidth="1"/>
    <col min="10477" max="10477" width="24.85546875" style="1" bestFit="1" customWidth="1"/>
    <col min="10478" max="10478" width="19" style="1" bestFit="1" customWidth="1"/>
    <col min="10479" max="10727" width="11.42578125" style="1"/>
    <col min="10728" max="10728" width="4.28515625" style="1" customWidth="1"/>
    <col min="10729" max="10729" width="74.7109375" style="1" customWidth="1"/>
    <col min="10730" max="10730" width="8.7109375" style="1" customWidth="1"/>
    <col min="10731" max="10731" width="14.140625" style="1" customWidth="1"/>
    <col min="10732" max="10732" width="17.28515625" style="1" customWidth="1"/>
    <col min="10733" max="10733" width="24.85546875" style="1" bestFit="1" customWidth="1"/>
    <col min="10734" max="10734" width="19" style="1" bestFit="1" customWidth="1"/>
    <col min="10735" max="10983" width="11.42578125" style="1"/>
    <col min="10984" max="10984" width="4.28515625" style="1" customWidth="1"/>
    <col min="10985" max="10985" width="74.7109375" style="1" customWidth="1"/>
    <col min="10986" max="10986" width="8.7109375" style="1" customWidth="1"/>
    <col min="10987" max="10987" width="14.140625" style="1" customWidth="1"/>
    <col min="10988" max="10988" width="17.28515625" style="1" customWidth="1"/>
    <col min="10989" max="10989" width="24.85546875" style="1" bestFit="1" customWidth="1"/>
    <col min="10990" max="10990" width="19" style="1" bestFit="1" customWidth="1"/>
    <col min="10991" max="11239" width="11.42578125" style="1"/>
    <col min="11240" max="11240" width="4.28515625" style="1" customWidth="1"/>
    <col min="11241" max="11241" width="74.7109375" style="1" customWidth="1"/>
    <col min="11242" max="11242" width="8.7109375" style="1" customWidth="1"/>
    <col min="11243" max="11243" width="14.140625" style="1" customWidth="1"/>
    <col min="11244" max="11244" width="17.28515625" style="1" customWidth="1"/>
    <col min="11245" max="11245" width="24.85546875" style="1" bestFit="1" customWidth="1"/>
    <col min="11246" max="11246" width="19" style="1" bestFit="1" customWidth="1"/>
    <col min="11247" max="11495" width="11.42578125" style="1"/>
    <col min="11496" max="11496" width="4.28515625" style="1" customWidth="1"/>
    <col min="11497" max="11497" width="74.7109375" style="1" customWidth="1"/>
    <col min="11498" max="11498" width="8.7109375" style="1" customWidth="1"/>
    <col min="11499" max="11499" width="14.140625" style="1" customWidth="1"/>
    <col min="11500" max="11500" width="17.28515625" style="1" customWidth="1"/>
    <col min="11501" max="11501" width="24.85546875" style="1" bestFit="1" customWidth="1"/>
    <col min="11502" max="11502" width="19" style="1" bestFit="1" customWidth="1"/>
    <col min="11503" max="11751" width="11.42578125" style="1"/>
    <col min="11752" max="11752" width="4.28515625" style="1" customWidth="1"/>
    <col min="11753" max="11753" width="74.7109375" style="1" customWidth="1"/>
    <col min="11754" max="11754" width="8.7109375" style="1" customWidth="1"/>
    <col min="11755" max="11755" width="14.140625" style="1" customWidth="1"/>
    <col min="11756" max="11756" width="17.28515625" style="1" customWidth="1"/>
    <col min="11757" max="11757" width="24.85546875" style="1" bestFit="1" customWidth="1"/>
    <col min="11758" max="11758" width="19" style="1" bestFit="1" customWidth="1"/>
    <col min="11759" max="12007" width="11.42578125" style="1"/>
    <col min="12008" max="12008" width="4.28515625" style="1" customWidth="1"/>
    <col min="12009" max="12009" width="74.7109375" style="1" customWidth="1"/>
    <col min="12010" max="12010" width="8.7109375" style="1" customWidth="1"/>
    <col min="12011" max="12011" width="14.140625" style="1" customWidth="1"/>
    <col min="12012" max="12012" width="17.28515625" style="1" customWidth="1"/>
    <col min="12013" max="12013" width="24.85546875" style="1" bestFit="1" customWidth="1"/>
    <col min="12014" max="12014" width="19" style="1" bestFit="1" customWidth="1"/>
    <col min="12015" max="12263" width="11.42578125" style="1"/>
    <col min="12264" max="12264" width="4.28515625" style="1" customWidth="1"/>
    <col min="12265" max="12265" width="74.7109375" style="1" customWidth="1"/>
    <col min="12266" max="12266" width="8.7109375" style="1" customWidth="1"/>
    <col min="12267" max="12267" width="14.140625" style="1" customWidth="1"/>
    <col min="12268" max="12268" width="17.28515625" style="1" customWidth="1"/>
    <col min="12269" max="12269" width="24.85546875" style="1" bestFit="1" customWidth="1"/>
    <col min="12270" max="12270" width="19" style="1" bestFit="1" customWidth="1"/>
    <col min="12271" max="12519" width="11.42578125" style="1"/>
    <col min="12520" max="12520" width="4.28515625" style="1" customWidth="1"/>
    <col min="12521" max="12521" width="74.7109375" style="1" customWidth="1"/>
    <col min="12522" max="12522" width="8.7109375" style="1" customWidth="1"/>
    <col min="12523" max="12523" width="14.140625" style="1" customWidth="1"/>
    <col min="12524" max="12524" width="17.28515625" style="1" customWidth="1"/>
    <col min="12525" max="12525" width="24.85546875" style="1" bestFit="1" customWidth="1"/>
    <col min="12526" max="12526" width="19" style="1" bestFit="1" customWidth="1"/>
    <col min="12527" max="12775" width="11.42578125" style="1"/>
    <col min="12776" max="12776" width="4.28515625" style="1" customWidth="1"/>
    <col min="12777" max="12777" width="74.7109375" style="1" customWidth="1"/>
    <col min="12778" max="12778" width="8.7109375" style="1" customWidth="1"/>
    <col min="12779" max="12779" width="14.140625" style="1" customWidth="1"/>
    <col min="12780" max="12780" width="17.28515625" style="1" customWidth="1"/>
    <col min="12781" max="12781" width="24.85546875" style="1" bestFit="1" customWidth="1"/>
    <col min="12782" max="12782" width="19" style="1" bestFit="1" customWidth="1"/>
    <col min="12783" max="13031" width="11.42578125" style="1"/>
    <col min="13032" max="13032" width="4.28515625" style="1" customWidth="1"/>
    <col min="13033" max="13033" width="74.7109375" style="1" customWidth="1"/>
    <col min="13034" max="13034" width="8.7109375" style="1" customWidth="1"/>
    <col min="13035" max="13035" width="14.140625" style="1" customWidth="1"/>
    <col min="13036" max="13036" width="17.28515625" style="1" customWidth="1"/>
    <col min="13037" max="13037" width="24.85546875" style="1" bestFit="1" customWidth="1"/>
    <col min="13038" max="13038" width="19" style="1" bestFit="1" customWidth="1"/>
    <col min="13039" max="13287" width="11.42578125" style="1"/>
    <col min="13288" max="13288" width="4.28515625" style="1" customWidth="1"/>
    <col min="13289" max="13289" width="74.7109375" style="1" customWidth="1"/>
    <col min="13290" max="13290" width="8.7109375" style="1" customWidth="1"/>
    <col min="13291" max="13291" width="14.140625" style="1" customWidth="1"/>
    <col min="13292" max="13292" width="17.28515625" style="1" customWidth="1"/>
    <col min="13293" max="13293" width="24.85546875" style="1" bestFit="1" customWidth="1"/>
    <col min="13294" max="13294" width="19" style="1" bestFit="1" customWidth="1"/>
    <col min="13295" max="13543" width="11.42578125" style="1"/>
    <col min="13544" max="13544" width="4.28515625" style="1" customWidth="1"/>
    <col min="13545" max="13545" width="74.7109375" style="1" customWidth="1"/>
    <col min="13546" max="13546" width="8.7109375" style="1" customWidth="1"/>
    <col min="13547" max="13547" width="14.140625" style="1" customWidth="1"/>
    <col min="13548" max="13548" width="17.28515625" style="1" customWidth="1"/>
    <col min="13549" max="13549" width="24.85546875" style="1" bestFit="1" customWidth="1"/>
    <col min="13550" max="13550" width="19" style="1" bestFit="1" customWidth="1"/>
    <col min="13551" max="13799" width="11.42578125" style="1"/>
    <col min="13800" max="13800" width="4.28515625" style="1" customWidth="1"/>
    <col min="13801" max="13801" width="74.7109375" style="1" customWidth="1"/>
    <col min="13802" max="13802" width="8.7109375" style="1" customWidth="1"/>
    <col min="13803" max="13803" width="14.140625" style="1" customWidth="1"/>
    <col min="13804" max="13804" width="17.28515625" style="1" customWidth="1"/>
    <col min="13805" max="13805" width="24.85546875" style="1" bestFit="1" customWidth="1"/>
    <col min="13806" max="13806" width="19" style="1" bestFit="1" customWidth="1"/>
    <col min="13807" max="14055" width="11.42578125" style="1"/>
    <col min="14056" max="14056" width="4.28515625" style="1" customWidth="1"/>
    <col min="14057" max="14057" width="74.7109375" style="1" customWidth="1"/>
    <col min="14058" max="14058" width="8.7109375" style="1" customWidth="1"/>
    <col min="14059" max="14059" width="14.140625" style="1" customWidth="1"/>
    <col min="14060" max="14060" width="17.28515625" style="1" customWidth="1"/>
    <col min="14061" max="14061" width="24.85546875" style="1" bestFit="1" customWidth="1"/>
    <col min="14062" max="14062" width="19" style="1" bestFit="1" customWidth="1"/>
    <col min="14063" max="14311" width="11.42578125" style="1"/>
    <col min="14312" max="14312" width="4.28515625" style="1" customWidth="1"/>
    <col min="14313" max="14313" width="74.7109375" style="1" customWidth="1"/>
    <col min="14314" max="14314" width="8.7109375" style="1" customWidth="1"/>
    <col min="14315" max="14315" width="14.140625" style="1" customWidth="1"/>
    <col min="14316" max="14316" width="17.28515625" style="1" customWidth="1"/>
    <col min="14317" max="14317" width="24.85546875" style="1" bestFit="1" customWidth="1"/>
    <col min="14318" max="14318" width="19" style="1" bestFit="1" customWidth="1"/>
    <col min="14319" max="14567" width="11.42578125" style="1"/>
    <col min="14568" max="14568" width="4.28515625" style="1" customWidth="1"/>
    <col min="14569" max="14569" width="74.7109375" style="1" customWidth="1"/>
    <col min="14570" max="14570" width="8.7109375" style="1" customWidth="1"/>
    <col min="14571" max="14571" width="14.140625" style="1" customWidth="1"/>
    <col min="14572" max="14572" width="17.28515625" style="1" customWidth="1"/>
    <col min="14573" max="14573" width="24.85546875" style="1" bestFit="1" customWidth="1"/>
    <col min="14574" max="14574" width="19" style="1" bestFit="1" customWidth="1"/>
    <col min="14575" max="14823" width="11.42578125" style="1"/>
    <col min="14824" max="14824" width="4.28515625" style="1" customWidth="1"/>
    <col min="14825" max="14825" width="74.7109375" style="1" customWidth="1"/>
    <col min="14826" max="14826" width="8.7109375" style="1" customWidth="1"/>
    <col min="14827" max="14827" width="14.140625" style="1" customWidth="1"/>
    <col min="14828" max="14828" width="17.28515625" style="1" customWidth="1"/>
    <col min="14829" max="14829" width="24.85546875" style="1" bestFit="1" customWidth="1"/>
    <col min="14830" max="14830" width="19" style="1" bestFit="1" customWidth="1"/>
    <col min="14831" max="15079" width="11.42578125" style="1"/>
    <col min="15080" max="15080" width="4.28515625" style="1" customWidth="1"/>
    <col min="15081" max="15081" width="74.7109375" style="1" customWidth="1"/>
    <col min="15082" max="15082" width="8.7109375" style="1" customWidth="1"/>
    <col min="15083" max="15083" width="14.140625" style="1" customWidth="1"/>
    <col min="15084" max="15084" width="17.28515625" style="1" customWidth="1"/>
    <col min="15085" max="15085" width="24.85546875" style="1" bestFit="1" customWidth="1"/>
    <col min="15086" max="15086" width="19" style="1" bestFit="1" customWidth="1"/>
    <col min="15087" max="15335" width="11.42578125" style="1"/>
    <col min="15336" max="15336" width="4.28515625" style="1" customWidth="1"/>
    <col min="15337" max="15337" width="74.7109375" style="1" customWidth="1"/>
    <col min="15338" max="15338" width="8.7109375" style="1" customWidth="1"/>
    <col min="15339" max="15339" width="14.140625" style="1" customWidth="1"/>
    <col min="15340" max="15340" width="17.28515625" style="1" customWidth="1"/>
    <col min="15341" max="15341" width="24.85546875" style="1" bestFit="1" customWidth="1"/>
    <col min="15342" max="15342" width="19" style="1" bestFit="1" customWidth="1"/>
    <col min="15343" max="15591" width="11.42578125" style="1"/>
    <col min="15592" max="15592" width="4.28515625" style="1" customWidth="1"/>
    <col min="15593" max="15593" width="74.7109375" style="1" customWidth="1"/>
    <col min="15594" max="15594" width="8.7109375" style="1" customWidth="1"/>
    <col min="15595" max="15595" width="14.140625" style="1" customWidth="1"/>
    <col min="15596" max="15596" width="17.28515625" style="1" customWidth="1"/>
    <col min="15597" max="15597" width="24.85546875" style="1" bestFit="1" customWidth="1"/>
    <col min="15598" max="15598" width="19" style="1" bestFit="1" customWidth="1"/>
    <col min="15599" max="15847" width="11.42578125" style="1"/>
    <col min="15848" max="15848" width="4.28515625" style="1" customWidth="1"/>
    <col min="15849" max="15849" width="74.7109375" style="1" customWidth="1"/>
    <col min="15850" max="15850" width="8.7109375" style="1" customWidth="1"/>
    <col min="15851" max="15851" width="14.140625" style="1" customWidth="1"/>
    <col min="15852" max="15852" width="17.28515625" style="1" customWidth="1"/>
    <col min="15853" max="15853" width="24.85546875" style="1" bestFit="1" customWidth="1"/>
    <col min="15854" max="15854" width="19" style="1" bestFit="1" customWidth="1"/>
    <col min="15855" max="16103" width="11.42578125" style="1"/>
    <col min="16104" max="16104" width="4.28515625" style="1" customWidth="1"/>
    <col min="16105" max="16105" width="74.7109375" style="1" customWidth="1"/>
    <col min="16106" max="16106" width="8.7109375" style="1" customWidth="1"/>
    <col min="16107" max="16107" width="14.140625" style="1" customWidth="1"/>
    <col min="16108" max="16108" width="17.28515625" style="1" customWidth="1"/>
    <col min="16109" max="16109" width="24.85546875" style="1" bestFit="1" customWidth="1"/>
    <col min="16110" max="16110" width="19" style="1" bestFit="1" customWidth="1"/>
    <col min="16111" max="16384" width="11.42578125" style="1"/>
  </cols>
  <sheetData>
    <row r="1" spans="2:190" ht="20.25" x14ac:dyDescent="0.25">
      <c r="B1" s="365" t="s">
        <v>85</v>
      </c>
      <c r="C1" s="365"/>
      <c r="D1" s="365"/>
      <c r="E1" s="365"/>
      <c r="F1" s="365"/>
      <c r="G1" s="365"/>
      <c r="H1" s="365"/>
      <c r="I1" s="365"/>
      <c r="GG1" s="25"/>
      <c r="GH1" s="25"/>
    </row>
    <row r="2" spans="2:190" ht="20.25" x14ac:dyDescent="0.25">
      <c r="B2" s="364" t="s">
        <v>86</v>
      </c>
      <c r="C2" s="364"/>
      <c r="D2" s="364"/>
      <c r="E2" s="364"/>
      <c r="F2" s="364"/>
      <c r="G2" s="364"/>
      <c r="H2" s="364"/>
      <c r="I2" s="364"/>
      <c r="GG2" s="25"/>
      <c r="GH2" s="25"/>
    </row>
    <row r="3" spans="2:190" ht="18" x14ac:dyDescent="0.25">
      <c r="B3" s="363" t="s">
        <v>440</v>
      </c>
      <c r="C3" s="363"/>
      <c r="D3" s="363"/>
      <c r="E3" s="363"/>
      <c r="F3" s="363"/>
      <c r="G3" s="363"/>
      <c r="H3" s="363"/>
      <c r="I3" s="363"/>
      <c r="GG3" s="25"/>
      <c r="GH3" s="25"/>
    </row>
    <row r="4" spans="2:190" ht="15.75" x14ac:dyDescent="0.25">
      <c r="B4" s="36"/>
      <c r="C4" s="37"/>
      <c r="D4" s="37"/>
      <c r="E4" s="37"/>
      <c r="F4" s="37"/>
      <c r="G4" s="37"/>
      <c r="H4" s="37"/>
      <c r="I4" s="37"/>
      <c r="GG4" s="25"/>
      <c r="GH4" s="25"/>
    </row>
    <row r="5" spans="2:190" ht="48.75" customHeight="1" x14ac:dyDescent="0.25">
      <c r="B5" s="368" t="s">
        <v>427</v>
      </c>
      <c r="C5" s="368"/>
      <c r="D5" s="368"/>
      <c r="E5" s="368"/>
      <c r="F5" s="368"/>
      <c r="G5" s="368"/>
      <c r="H5" s="368"/>
      <c r="I5" s="368"/>
      <c r="GG5" s="25"/>
      <c r="GH5" s="25"/>
    </row>
    <row r="6" spans="2:190" ht="18" x14ac:dyDescent="0.25">
      <c r="B6" s="38"/>
      <c r="C6" s="35"/>
      <c r="D6" s="35"/>
      <c r="E6" s="35"/>
      <c r="F6" s="35"/>
      <c r="G6" s="35"/>
      <c r="H6" s="35"/>
      <c r="I6" s="35"/>
      <c r="GG6" s="25"/>
      <c r="GH6" s="25"/>
    </row>
    <row r="7" spans="2:190" ht="18" x14ac:dyDescent="0.25">
      <c r="B7" s="369" t="s">
        <v>130</v>
      </c>
      <c r="C7" s="369"/>
      <c r="D7" s="369"/>
      <c r="E7" s="369"/>
      <c r="F7" s="369"/>
      <c r="G7" s="369"/>
      <c r="H7" s="369"/>
      <c r="I7" s="369"/>
      <c r="GG7" s="25"/>
      <c r="GH7" s="25"/>
    </row>
    <row r="8" spans="2:190" ht="18" x14ac:dyDescent="0.25">
      <c r="B8" s="34"/>
      <c r="C8" s="41"/>
      <c r="D8" s="34"/>
      <c r="E8" s="34"/>
      <c r="F8" s="34"/>
      <c r="G8" s="34"/>
      <c r="H8" s="336"/>
      <c r="I8" s="336"/>
      <c r="GG8" s="25"/>
      <c r="GH8" s="25"/>
    </row>
    <row r="9" spans="2:190" ht="27" customHeight="1" x14ac:dyDescent="0.25">
      <c r="B9" s="370" t="s">
        <v>87</v>
      </c>
      <c r="C9" s="370"/>
      <c r="D9" s="370"/>
      <c r="E9" s="370"/>
      <c r="F9" s="370"/>
      <c r="G9" s="370"/>
      <c r="H9" s="370"/>
      <c r="I9" s="370"/>
      <c r="GG9" s="25"/>
      <c r="GH9" s="25"/>
    </row>
    <row r="10" spans="2:190" ht="13.5" customHeight="1" x14ac:dyDescent="0.25">
      <c r="B10" s="372" t="s">
        <v>0</v>
      </c>
      <c r="C10" s="371" t="s">
        <v>1</v>
      </c>
      <c r="D10" s="371" t="s">
        <v>2</v>
      </c>
      <c r="E10" s="366" t="s">
        <v>3</v>
      </c>
      <c r="F10" s="371" t="s">
        <v>88</v>
      </c>
      <c r="G10" s="366" t="s">
        <v>4</v>
      </c>
      <c r="H10" s="371" t="s">
        <v>426</v>
      </c>
      <c r="I10" s="366" t="s">
        <v>4</v>
      </c>
      <c r="GG10" s="25"/>
      <c r="GH10" s="25"/>
    </row>
    <row r="11" spans="2:190" ht="12.75" x14ac:dyDescent="0.25">
      <c r="B11" s="373"/>
      <c r="C11" s="371"/>
      <c r="D11" s="371"/>
      <c r="E11" s="366" t="s">
        <v>3</v>
      </c>
      <c r="F11" s="374"/>
      <c r="G11" s="366"/>
      <c r="H11" s="371"/>
      <c r="I11" s="366"/>
      <c r="GG11" s="25"/>
      <c r="GH11" s="25"/>
    </row>
    <row r="12" spans="2:190" ht="12.75" x14ac:dyDescent="0.25">
      <c r="B12" s="367" t="s">
        <v>378</v>
      </c>
      <c r="C12" s="367"/>
      <c r="D12" s="367"/>
      <c r="E12" s="367"/>
      <c r="F12" s="367"/>
      <c r="G12" s="367"/>
      <c r="H12" s="339"/>
      <c r="I12" s="339"/>
      <c r="GG12" s="25"/>
      <c r="GH12" s="25"/>
    </row>
    <row r="13" spans="2:190" ht="12.75" x14ac:dyDescent="0.25">
      <c r="B13" s="158" t="s">
        <v>5</v>
      </c>
      <c r="C13" s="43" t="s">
        <v>132</v>
      </c>
      <c r="D13" s="44"/>
      <c r="E13" s="28"/>
      <c r="F13" s="19"/>
      <c r="G13" s="19"/>
      <c r="H13" s="19"/>
      <c r="I13" s="19"/>
      <c r="GG13" s="25"/>
      <c r="GH13" s="25"/>
    </row>
    <row r="14" spans="2:190" ht="12.75" x14ac:dyDescent="0.25">
      <c r="B14" s="303">
        <v>1</v>
      </c>
      <c r="C14" s="47" t="s">
        <v>139</v>
      </c>
      <c r="D14" s="45" t="s">
        <v>104</v>
      </c>
      <c r="E14" s="26">
        <v>52078</v>
      </c>
      <c r="F14" s="4">
        <f>+'1.1'!G44</f>
        <v>3046</v>
      </c>
      <c r="G14" s="313">
        <f>ROUND(E14*F14,0)</f>
        <v>158629588</v>
      </c>
      <c r="H14" s="313"/>
      <c r="I14" s="313">
        <f>ROUND(E14*H14,0)</f>
        <v>0</v>
      </c>
      <c r="K14" s="344"/>
      <c r="GG14" s="25"/>
      <c r="GH14" s="25"/>
    </row>
    <row r="15" spans="2:190" ht="12.75" x14ac:dyDescent="0.25">
      <c r="B15" s="303">
        <v>2</v>
      </c>
      <c r="C15" s="47" t="s">
        <v>140</v>
      </c>
      <c r="D15" s="45" t="s">
        <v>109</v>
      </c>
      <c r="E15" s="26">
        <v>3276</v>
      </c>
      <c r="F15" s="4">
        <f>+'1.2'!G47</f>
        <v>29944</v>
      </c>
      <c r="G15" s="313">
        <f t="shared" ref="G15:G27" si="0">ROUND(E15*F15,0)</f>
        <v>98096544</v>
      </c>
      <c r="H15" s="313"/>
      <c r="I15" s="313">
        <f t="shared" ref="I15:I27" si="1">ROUND(E15*H15,0)</f>
        <v>0</v>
      </c>
      <c r="K15" s="344"/>
      <c r="GG15" s="25"/>
      <c r="GH15" s="25"/>
    </row>
    <row r="16" spans="2:190" ht="12.75" x14ac:dyDescent="0.25">
      <c r="B16" s="303">
        <v>3</v>
      </c>
      <c r="C16" s="47" t="s">
        <v>365</v>
      </c>
      <c r="D16" s="45" t="s">
        <v>103</v>
      </c>
      <c r="E16" s="26">
        <v>37389</v>
      </c>
      <c r="F16" s="4">
        <f>+'1.3'!G42</f>
        <v>17797</v>
      </c>
      <c r="G16" s="313">
        <f t="shared" si="0"/>
        <v>665412033</v>
      </c>
      <c r="H16" s="313"/>
      <c r="I16" s="313">
        <f t="shared" si="1"/>
        <v>0</v>
      </c>
      <c r="K16" s="344"/>
      <c r="GG16" s="25"/>
      <c r="GH16" s="25"/>
    </row>
    <row r="17" spans="2:190" ht="25.5" x14ac:dyDescent="0.2">
      <c r="B17" s="303">
        <v>4</v>
      </c>
      <c r="C17" s="48" t="s">
        <v>141</v>
      </c>
      <c r="D17" s="45" t="s">
        <v>109</v>
      </c>
      <c r="E17" s="26">
        <v>39</v>
      </c>
      <c r="F17" s="4">
        <f>+'1.4'!G48</f>
        <v>81318</v>
      </c>
      <c r="G17" s="313">
        <f t="shared" si="0"/>
        <v>3171402</v>
      </c>
      <c r="H17" s="313"/>
      <c r="I17" s="313">
        <f t="shared" si="1"/>
        <v>0</v>
      </c>
      <c r="K17" s="344"/>
      <c r="GG17" s="25"/>
      <c r="GH17" s="25"/>
    </row>
    <row r="18" spans="2:190" ht="25.5" customHeight="1" x14ac:dyDescent="0.2">
      <c r="B18" s="303">
        <v>5</v>
      </c>
      <c r="C18" s="48" t="s">
        <v>142</v>
      </c>
      <c r="D18" s="45" t="s">
        <v>103</v>
      </c>
      <c r="E18" s="26">
        <v>1955</v>
      </c>
      <c r="F18" s="4">
        <f>+'1.5'!$G$45</f>
        <v>37092</v>
      </c>
      <c r="G18" s="313">
        <f t="shared" si="0"/>
        <v>72514860</v>
      </c>
      <c r="H18" s="313"/>
      <c r="I18" s="313">
        <f t="shared" si="1"/>
        <v>0</v>
      </c>
      <c r="K18" s="344"/>
      <c r="GG18" s="25"/>
      <c r="GH18" s="25"/>
    </row>
    <row r="19" spans="2:190" ht="12.75" x14ac:dyDescent="0.25">
      <c r="B19" s="303">
        <v>6</v>
      </c>
      <c r="C19" s="47" t="s">
        <v>143</v>
      </c>
      <c r="D19" s="45" t="s">
        <v>109</v>
      </c>
      <c r="E19" s="26">
        <v>2994</v>
      </c>
      <c r="F19" s="4">
        <f>+'1.6'!$G$45</f>
        <v>242237</v>
      </c>
      <c r="G19" s="313">
        <f t="shared" si="0"/>
        <v>725257578</v>
      </c>
      <c r="H19" s="313"/>
      <c r="I19" s="313">
        <f t="shared" si="1"/>
        <v>0</v>
      </c>
      <c r="K19" s="344"/>
      <c r="GG19" s="25"/>
      <c r="GH19" s="25"/>
    </row>
    <row r="20" spans="2:190" ht="12.75" x14ac:dyDescent="0.25">
      <c r="B20" s="303">
        <v>7</v>
      </c>
      <c r="C20" s="47" t="s">
        <v>144</v>
      </c>
      <c r="D20" s="45" t="s">
        <v>104</v>
      </c>
      <c r="E20" s="26">
        <v>4861</v>
      </c>
      <c r="F20" s="4">
        <f>+'1.7'!G45</f>
        <v>20268</v>
      </c>
      <c r="G20" s="313">
        <f t="shared" si="0"/>
        <v>98522748</v>
      </c>
      <c r="H20" s="313"/>
      <c r="I20" s="313">
        <f t="shared" si="1"/>
        <v>0</v>
      </c>
      <c r="K20" s="344"/>
      <c r="GG20" s="25"/>
      <c r="GH20" s="25"/>
    </row>
    <row r="21" spans="2:190" ht="12.75" x14ac:dyDescent="0.25">
      <c r="B21" s="303">
        <v>8</v>
      </c>
      <c r="C21" s="47" t="s">
        <v>145</v>
      </c>
      <c r="D21" s="45" t="s">
        <v>103</v>
      </c>
      <c r="E21" s="26">
        <v>1505</v>
      </c>
      <c r="F21" s="4">
        <f>+'1.8'!G46</f>
        <v>169079</v>
      </c>
      <c r="G21" s="313">
        <f t="shared" si="0"/>
        <v>254463895</v>
      </c>
      <c r="H21" s="313"/>
      <c r="I21" s="313">
        <f t="shared" si="1"/>
        <v>0</v>
      </c>
      <c r="K21" s="344"/>
      <c r="GG21" s="25"/>
      <c r="GH21" s="25"/>
    </row>
    <row r="22" spans="2:190" ht="26.25" customHeight="1" x14ac:dyDescent="0.2">
      <c r="B22" s="303">
        <v>9</v>
      </c>
      <c r="C22" s="48" t="s">
        <v>438</v>
      </c>
      <c r="D22" s="45" t="s">
        <v>103</v>
      </c>
      <c r="E22" s="26">
        <v>1124</v>
      </c>
      <c r="F22" s="4">
        <f>+'1.9'!G45</f>
        <v>128246</v>
      </c>
      <c r="G22" s="313">
        <f t="shared" si="0"/>
        <v>144148504</v>
      </c>
      <c r="H22" s="313"/>
      <c r="I22" s="313">
        <f t="shared" si="1"/>
        <v>0</v>
      </c>
      <c r="K22" s="344"/>
      <c r="GG22" s="25"/>
      <c r="GH22" s="25"/>
    </row>
    <row r="23" spans="2:190" ht="25.5" x14ac:dyDescent="0.2">
      <c r="B23" s="303">
        <v>10</v>
      </c>
      <c r="C23" s="48" t="s">
        <v>146</v>
      </c>
      <c r="D23" s="45" t="s">
        <v>103</v>
      </c>
      <c r="E23" s="26">
        <v>3450</v>
      </c>
      <c r="F23" s="4">
        <f>+'1.10'!G44</f>
        <v>189042</v>
      </c>
      <c r="G23" s="313">
        <f t="shared" si="0"/>
        <v>652194900</v>
      </c>
      <c r="H23" s="313"/>
      <c r="I23" s="313">
        <f t="shared" si="1"/>
        <v>0</v>
      </c>
      <c r="K23" s="344"/>
      <c r="GG23" s="25"/>
      <c r="GH23" s="25"/>
    </row>
    <row r="24" spans="2:190" ht="25.5" x14ac:dyDescent="0.2">
      <c r="B24" s="303">
        <v>11</v>
      </c>
      <c r="C24" s="48" t="s">
        <v>147</v>
      </c>
      <c r="D24" s="45" t="s">
        <v>103</v>
      </c>
      <c r="E24" s="26">
        <v>1642</v>
      </c>
      <c r="F24" s="4">
        <f>+'1.11'!G46</f>
        <v>171696</v>
      </c>
      <c r="G24" s="313">
        <f t="shared" si="0"/>
        <v>281924832</v>
      </c>
      <c r="H24" s="313"/>
      <c r="I24" s="313">
        <f t="shared" si="1"/>
        <v>0</v>
      </c>
      <c r="K24" s="344"/>
      <c r="GG24" s="25"/>
      <c r="GH24" s="25"/>
    </row>
    <row r="25" spans="2:190" ht="12.75" x14ac:dyDescent="0.25">
      <c r="B25" s="303">
        <v>12</v>
      </c>
      <c r="C25" s="47" t="s">
        <v>148</v>
      </c>
      <c r="D25" s="45" t="s">
        <v>104</v>
      </c>
      <c r="E25" s="26">
        <v>31804</v>
      </c>
      <c r="F25" s="4">
        <f>+'1.12'!G47</f>
        <v>6792</v>
      </c>
      <c r="G25" s="313">
        <f t="shared" si="0"/>
        <v>216012768</v>
      </c>
      <c r="H25" s="313"/>
      <c r="I25" s="313">
        <f t="shared" si="1"/>
        <v>0</v>
      </c>
      <c r="K25" s="344"/>
      <c r="GG25" s="25"/>
      <c r="GH25" s="25"/>
    </row>
    <row r="26" spans="2:190" ht="12.75" x14ac:dyDescent="0.25">
      <c r="B26" s="303">
        <v>13</v>
      </c>
      <c r="C26" s="47" t="s">
        <v>149</v>
      </c>
      <c r="D26" s="45" t="s">
        <v>103</v>
      </c>
      <c r="E26" s="26">
        <v>1538</v>
      </c>
      <c r="F26" s="4">
        <f>+'1.13'!G45</f>
        <v>10467</v>
      </c>
      <c r="G26" s="313">
        <f t="shared" si="0"/>
        <v>16098246</v>
      </c>
      <c r="H26" s="313"/>
      <c r="I26" s="313">
        <f t="shared" si="1"/>
        <v>0</v>
      </c>
      <c r="K26" s="344"/>
      <c r="GG26" s="25"/>
      <c r="GH26" s="25"/>
    </row>
    <row r="27" spans="2:190" ht="12.75" x14ac:dyDescent="0.25">
      <c r="B27" s="303">
        <v>14</v>
      </c>
      <c r="C27" s="47" t="s">
        <v>150</v>
      </c>
      <c r="D27" s="45" t="s">
        <v>103</v>
      </c>
      <c r="E27" s="26">
        <v>567</v>
      </c>
      <c r="F27" s="4">
        <f>+'1.14'!G47</f>
        <v>201655</v>
      </c>
      <c r="G27" s="313">
        <f t="shared" si="0"/>
        <v>114338385</v>
      </c>
      <c r="H27" s="313"/>
      <c r="I27" s="313">
        <f t="shared" si="1"/>
        <v>0</v>
      </c>
      <c r="K27" s="344"/>
      <c r="GG27" s="25"/>
      <c r="GH27" s="25"/>
    </row>
    <row r="28" spans="2:190" ht="12.75" x14ac:dyDescent="0.25">
      <c r="B28" s="158" t="s">
        <v>8</v>
      </c>
      <c r="C28" s="43" t="s">
        <v>133</v>
      </c>
      <c r="D28" s="44"/>
      <c r="E28" s="28"/>
      <c r="F28" s="19"/>
      <c r="G28" s="16"/>
      <c r="H28" s="16"/>
      <c r="I28" s="16"/>
      <c r="K28" s="344"/>
      <c r="GG28" s="25"/>
      <c r="GH28" s="25"/>
    </row>
    <row r="29" spans="2:190" ht="25.5" x14ac:dyDescent="0.2">
      <c r="B29" s="303">
        <v>15</v>
      </c>
      <c r="C29" s="48" t="s">
        <v>151</v>
      </c>
      <c r="D29" s="45" t="s">
        <v>103</v>
      </c>
      <c r="E29" s="26">
        <v>136</v>
      </c>
      <c r="F29" s="4">
        <f>+'1.15'!G44</f>
        <v>112126</v>
      </c>
      <c r="G29" s="313">
        <f t="shared" ref="G29:G36" si="2">ROUND(E29*F29,0)</f>
        <v>15249136</v>
      </c>
      <c r="H29" s="313"/>
      <c r="I29" s="313">
        <f t="shared" ref="I29:I36" si="3">ROUND(E29*H29,0)</f>
        <v>0</v>
      </c>
      <c r="K29" s="344"/>
      <c r="GG29" s="25"/>
      <c r="GH29" s="25"/>
    </row>
    <row r="30" spans="2:190" ht="25.5" x14ac:dyDescent="0.2">
      <c r="B30" s="303">
        <v>16</v>
      </c>
      <c r="C30" s="48" t="s">
        <v>152</v>
      </c>
      <c r="D30" s="45" t="s">
        <v>91</v>
      </c>
      <c r="E30" s="26">
        <v>5735</v>
      </c>
      <c r="F30" s="4">
        <f>+'1.16'!$G$47</f>
        <v>146126</v>
      </c>
      <c r="G30" s="313">
        <f t="shared" si="2"/>
        <v>838032610</v>
      </c>
      <c r="H30" s="313"/>
      <c r="I30" s="313">
        <f t="shared" si="3"/>
        <v>0</v>
      </c>
      <c r="K30" s="344"/>
      <c r="GG30" s="25"/>
      <c r="GH30" s="25"/>
    </row>
    <row r="31" spans="2:190" ht="25.5" x14ac:dyDescent="0.25">
      <c r="B31" s="303">
        <v>17</v>
      </c>
      <c r="C31" s="49" t="s">
        <v>153</v>
      </c>
      <c r="D31" s="45" t="s">
        <v>103</v>
      </c>
      <c r="E31" s="26">
        <v>269</v>
      </c>
      <c r="F31" s="4">
        <f>+'1.17'!G55</f>
        <v>764697</v>
      </c>
      <c r="G31" s="313">
        <f t="shared" si="2"/>
        <v>205703493</v>
      </c>
      <c r="H31" s="313"/>
      <c r="I31" s="313">
        <f t="shared" si="3"/>
        <v>0</v>
      </c>
      <c r="K31" s="344"/>
      <c r="GG31" s="25"/>
      <c r="GH31" s="25"/>
    </row>
    <row r="32" spans="2:190" ht="12.75" x14ac:dyDescent="0.25">
      <c r="B32" s="303">
        <v>18</v>
      </c>
      <c r="C32" s="47" t="s">
        <v>154</v>
      </c>
      <c r="D32" s="45" t="s">
        <v>109</v>
      </c>
      <c r="E32" s="26">
        <v>115</v>
      </c>
      <c r="F32" s="4">
        <f>+'1.18'!G46</f>
        <v>50889</v>
      </c>
      <c r="G32" s="313">
        <f t="shared" si="2"/>
        <v>5852235</v>
      </c>
      <c r="H32" s="313"/>
      <c r="I32" s="313">
        <f t="shared" si="3"/>
        <v>0</v>
      </c>
      <c r="K32" s="344"/>
      <c r="GG32" s="25"/>
      <c r="GH32" s="25"/>
    </row>
    <row r="33" spans="2:190" ht="12.75" x14ac:dyDescent="0.25">
      <c r="B33" s="303">
        <v>19</v>
      </c>
      <c r="C33" s="47" t="s">
        <v>155</v>
      </c>
      <c r="D33" s="45" t="s">
        <v>135</v>
      </c>
      <c r="E33" s="26">
        <v>9</v>
      </c>
      <c r="F33" s="4">
        <f>+'1.19'!G45</f>
        <v>1906838</v>
      </c>
      <c r="G33" s="313">
        <f t="shared" si="2"/>
        <v>17161542</v>
      </c>
      <c r="H33" s="313"/>
      <c r="I33" s="313">
        <f t="shared" si="3"/>
        <v>0</v>
      </c>
      <c r="K33" s="344"/>
      <c r="GG33" s="25"/>
      <c r="GH33" s="25"/>
    </row>
    <row r="34" spans="2:190" ht="25.5" x14ac:dyDescent="0.2">
      <c r="B34" s="303">
        <v>20</v>
      </c>
      <c r="C34" s="48" t="s">
        <v>377</v>
      </c>
      <c r="D34" s="45" t="s">
        <v>109</v>
      </c>
      <c r="E34" s="26">
        <v>89</v>
      </c>
      <c r="F34" s="4">
        <f>+'1.20'!G46</f>
        <v>3106750</v>
      </c>
      <c r="G34" s="313">
        <f t="shared" si="2"/>
        <v>276500750</v>
      </c>
      <c r="H34" s="313"/>
      <c r="I34" s="313">
        <f t="shared" si="3"/>
        <v>0</v>
      </c>
      <c r="K34" s="344"/>
      <c r="GG34" s="25"/>
      <c r="GH34" s="25"/>
    </row>
    <row r="35" spans="2:190" ht="25.5" x14ac:dyDescent="0.25">
      <c r="B35" s="303">
        <v>21</v>
      </c>
      <c r="C35" s="49" t="s">
        <v>376</v>
      </c>
      <c r="D35" s="45" t="s">
        <v>109</v>
      </c>
      <c r="E35" s="26">
        <v>193</v>
      </c>
      <c r="F35" s="4">
        <f>+'1.21'!G46</f>
        <v>4046083</v>
      </c>
      <c r="G35" s="313">
        <f t="shared" si="2"/>
        <v>780894019</v>
      </c>
      <c r="H35" s="313"/>
      <c r="I35" s="313">
        <f t="shared" si="3"/>
        <v>0</v>
      </c>
      <c r="K35" s="344"/>
      <c r="GG35" s="25"/>
      <c r="GH35" s="25"/>
    </row>
    <row r="36" spans="2:190" ht="12.75" x14ac:dyDescent="0.2">
      <c r="B36" s="303">
        <v>22</v>
      </c>
      <c r="C36" s="50" t="s">
        <v>156</v>
      </c>
      <c r="D36" s="45" t="s">
        <v>103</v>
      </c>
      <c r="E36" s="26">
        <v>1186</v>
      </c>
      <c r="F36" s="4">
        <f>+'1.22'!G52</f>
        <v>544433</v>
      </c>
      <c r="G36" s="313">
        <f t="shared" si="2"/>
        <v>645697538</v>
      </c>
      <c r="H36" s="313"/>
      <c r="I36" s="313">
        <f t="shared" si="3"/>
        <v>0</v>
      </c>
      <c r="K36" s="344"/>
      <c r="GG36" s="25"/>
      <c r="GH36" s="25"/>
    </row>
    <row r="37" spans="2:190" ht="12.75" x14ac:dyDescent="0.25">
      <c r="B37" s="158" t="s">
        <v>24</v>
      </c>
      <c r="C37" s="43" t="s">
        <v>136</v>
      </c>
      <c r="D37" s="44"/>
      <c r="E37" s="28"/>
      <c r="F37" s="19"/>
      <c r="G37" s="314"/>
      <c r="H37" s="314"/>
      <c r="I37" s="314"/>
      <c r="K37" s="344"/>
      <c r="GG37" s="25"/>
      <c r="GH37" s="25"/>
    </row>
    <row r="38" spans="2:190" ht="25.5" x14ac:dyDescent="0.2">
      <c r="B38" s="303">
        <v>23</v>
      </c>
      <c r="C38" s="48" t="s">
        <v>157</v>
      </c>
      <c r="D38" s="45" t="s">
        <v>109</v>
      </c>
      <c r="E38" s="26">
        <v>3473</v>
      </c>
      <c r="F38" s="4">
        <f>+'1.23'!G52</f>
        <v>273110</v>
      </c>
      <c r="G38" s="313">
        <f>ROUND(E38*F38,0)</f>
        <v>948511030</v>
      </c>
      <c r="H38" s="313"/>
      <c r="I38" s="313">
        <f>ROUND(E38*H38,0)</f>
        <v>0</v>
      </c>
      <c r="K38" s="344"/>
      <c r="GG38" s="25"/>
      <c r="GH38" s="25"/>
    </row>
    <row r="39" spans="2:190" ht="12.75" x14ac:dyDescent="0.25">
      <c r="B39" s="158" t="s">
        <v>26</v>
      </c>
      <c r="C39" s="43" t="s">
        <v>137</v>
      </c>
      <c r="D39" s="44"/>
      <c r="E39" s="28"/>
      <c r="F39" s="19"/>
      <c r="G39" s="314"/>
      <c r="H39" s="314"/>
      <c r="I39" s="314"/>
      <c r="K39" s="344"/>
      <c r="GG39" s="25"/>
      <c r="GH39" s="25"/>
    </row>
    <row r="40" spans="2:190" ht="38.25" x14ac:dyDescent="0.2">
      <c r="B40" s="303">
        <v>24</v>
      </c>
      <c r="C40" s="48" t="s">
        <v>366</v>
      </c>
      <c r="D40" s="45" t="s">
        <v>104</v>
      </c>
      <c r="E40" s="26">
        <v>6342</v>
      </c>
      <c r="F40" s="4">
        <f>+'1.24'!G51</f>
        <v>125949</v>
      </c>
      <c r="G40" s="313">
        <f t="shared" ref="G40:G41" si="4">ROUND(E40*F40,0)</f>
        <v>798768558</v>
      </c>
      <c r="H40" s="313"/>
      <c r="I40" s="313">
        <f t="shared" ref="I40:I41" si="5">ROUND(E40*H40,0)</f>
        <v>0</v>
      </c>
      <c r="K40" s="344"/>
      <c r="GG40" s="25"/>
      <c r="GH40" s="25"/>
    </row>
    <row r="41" spans="2:190" ht="38.25" x14ac:dyDescent="0.25">
      <c r="B41" s="303">
        <v>25</v>
      </c>
      <c r="C41" s="49" t="s">
        <v>375</v>
      </c>
      <c r="D41" s="45" t="s">
        <v>104</v>
      </c>
      <c r="E41" s="26">
        <v>17149</v>
      </c>
      <c r="F41" s="4">
        <f>+'1.25'!G51</f>
        <v>100343</v>
      </c>
      <c r="G41" s="313">
        <f t="shared" si="4"/>
        <v>1720782107</v>
      </c>
      <c r="H41" s="313"/>
      <c r="I41" s="313">
        <f t="shared" si="5"/>
        <v>0</v>
      </c>
      <c r="K41" s="344"/>
      <c r="GG41" s="25"/>
      <c r="GH41" s="25"/>
    </row>
    <row r="42" spans="2:190" ht="12.75" x14ac:dyDescent="0.25">
      <c r="B42" s="158" t="s">
        <v>28</v>
      </c>
      <c r="C42" s="43" t="s">
        <v>138</v>
      </c>
      <c r="D42" s="44"/>
      <c r="E42" s="28"/>
      <c r="F42" s="19"/>
      <c r="G42" s="314"/>
      <c r="H42" s="314"/>
      <c r="I42" s="314"/>
      <c r="K42" s="344"/>
      <c r="GG42" s="25"/>
      <c r="GH42" s="25"/>
    </row>
    <row r="43" spans="2:190" ht="12.75" x14ac:dyDescent="0.2">
      <c r="B43" s="303">
        <v>26</v>
      </c>
      <c r="C43" s="50" t="s">
        <v>158</v>
      </c>
      <c r="D43" s="45" t="s">
        <v>104</v>
      </c>
      <c r="E43" s="26">
        <v>24693</v>
      </c>
      <c r="F43" s="4">
        <f>+'1.26'!G49</f>
        <v>9109</v>
      </c>
      <c r="G43" s="313">
        <f t="shared" ref="G43:G44" si="6">ROUND(E43*F43,0)</f>
        <v>224928537</v>
      </c>
      <c r="H43" s="313"/>
      <c r="I43" s="313">
        <f t="shared" ref="I43:I44" si="7">ROUND(E43*H43,0)</f>
        <v>0</v>
      </c>
      <c r="K43" s="344"/>
      <c r="GG43" s="25"/>
      <c r="GH43" s="25"/>
    </row>
    <row r="44" spans="2:190" ht="12.75" x14ac:dyDescent="0.25">
      <c r="B44" s="303">
        <v>27</v>
      </c>
      <c r="C44" s="47" t="s">
        <v>159</v>
      </c>
      <c r="D44" s="45" t="s">
        <v>52</v>
      </c>
      <c r="E44" s="26">
        <v>16</v>
      </c>
      <c r="F44" s="4">
        <f>+'1.27;1.29'!G49</f>
        <v>525972</v>
      </c>
      <c r="G44" s="313">
        <f t="shared" si="6"/>
        <v>8415552</v>
      </c>
      <c r="H44" s="313"/>
      <c r="I44" s="313">
        <f t="shared" si="7"/>
        <v>0</v>
      </c>
      <c r="K44" s="344"/>
      <c r="GG44" s="25"/>
      <c r="GH44" s="25"/>
    </row>
    <row r="45" spans="2:190" ht="12.75" x14ac:dyDescent="0.25">
      <c r="B45" s="358" t="s">
        <v>89</v>
      </c>
      <c r="C45" s="358"/>
      <c r="D45" s="358"/>
      <c r="E45" s="358"/>
      <c r="F45" s="358"/>
      <c r="G45" s="315">
        <f>SUM(G14:G44)</f>
        <v>9987283390</v>
      </c>
      <c r="H45" s="315"/>
      <c r="I45" s="315">
        <f>SUM(I14:I44)</f>
        <v>0</v>
      </c>
      <c r="K45" s="344"/>
      <c r="GG45" s="25"/>
      <c r="GH45" s="25"/>
    </row>
    <row r="46" spans="2:190" ht="12.75" x14ac:dyDescent="0.25">
      <c r="B46" s="367" t="s">
        <v>46</v>
      </c>
      <c r="C46" s="367"/>
      <c r="D46" s="367"/>
      <c r="E46" s="367"/>
      <c r="F46" s="367"/>
      <c r="G46" s="367"/>
      <c r="H46" s="339"/>
      <c r="I46" s="339"/>
      <c r="K46" s="344"/>
      <c r="GG46" s="25"/>
      <c r="GH46" s="25"/>
    </row>
    <row r="47" spans="2:190" ht="12.75" x14ac:dyDescent="0.25">
      <c r="B47" s="303">
        <v>28</v>
      </c>
      <c r="C47" s="27" t="s">
        <v>48</v>
      </c>
      <c r="D47" s="317" t="s">
        <v>52</v>
      </c>
      <c r="E47" s="347">
        <v>9934</v>
      </c>
      <c r="F47" s="306">
        <f>+'1.28'!G55</f>
        <v>480943</v>
      </c>
      <c r="G47" s="348">
        <f t="shared" ref="G47:G54" si="8">ROUND(E47*F47,0)</f>
        <v>4777687762</v>
      </c>
      <c r="H47" s="348"/>
      <c r="I47" s="348">
        <f t="shared" ref="I47:I54" si="9">ROUND(E47*H47,0)</f>
        <v>0</v>
      </c>
      <c r="J47" s="345"/>
      <c r="K47" s="344"/>
      <c r="GG47" s="25"/>
      <c r="GH47" s="25"/>
    </row>
    <row r="48" spans="2:190" ht="12.75" x14ac:dyDescent="0.25">
      <c r="B48" s="303">
        <v>29</v>
      </c>
      <c r="C48" s="27" t="s">
        <v>49</v>
      </c>
      <c r="D48" s="5" t="s">
        <v>52</v>
      </c>
      <c r="E48" s="40">
        <v>1100</v>
      </c>
      <c r="F48" s="4">
        <f>+F44</f>
        <v>525972</v>
      </c>
      <c r="G48" s="313">
        <f t="shared" si="8"/>
        <v>578569200</v>
      </c>
      <c r="H48" s="313"/>
      <c r="I48" s="313">
        <f t="shared" si="9"/>
        <v>0</v>
      </c>
      <c r="K48" s="344"/>
    </row>
    <row r="49" spans="2:11" ht="12.75" x14ac:dyDescent="0.25">
      <c r="B49" s="303">
        <v>30</v>
      </c>
      <c r="C49" s="27" t="s">
        <v>431</v>
      </c>
      <c r="D49" s="5" t="s">
        <v>122</v>
      </c>
      <c r="E49" s="40">
        <f>264+1655</f>
        <v>1919</v>
      </c>
      <c r="F49" s="4">
        <f>+'1.30'!G49</f>
        <v>510925</v>
      </c>
      <c r="G49" s="313">
        <f t="shared" si="8"/>
        <v>980465075</v>
      </c>
      <c r="H49" s="313"/>
      <c r="I49" s="313">
        <f t="shared" si="9"/>
        <v>0</v>
      </c>
      <c r="K49" s="344"/>
    </row>
    <row r="50" spans="2:11" ht="14.25" customHeight="1" x14ac:dyDescent="0.25">
      <c r="B50" s="303">
        <v>31</v>
      </c>
      <c r="C50" s="27" t="s">
        <v>114</v>
      </c>
      <c r="D50" s="5" t="s">
        <v>52</v>
      </c>
      <c r="E50" s="40">
        <v>169826</v>
      </c>
      <c r="F50" s="4">
        <f>+'1.31'!G43</f>
        <v>13015</v>
      </c>
      <c r="G50" s="313">
        <f t="shared" si="8"/>
        <v>2210285390</v>
      </c>
      <c r="H50" s="313"/>
      <c r="I50" s="313">
        <f t="shared" si="9"/>
        <v>0</v>
      </c>
      <c r="K50" s="344"/>
    </row>
    <row r="51" spans="2:11" ht="12.75" x14ac:dyDescent="0.25">
      <c r="B51" s="303">
        <v>32</v>
      </c>
      <c r="C51" s="27" t="s">
        <v>83</v>
      </c>
      <c r="D51" s="5" t="s">
        <v>103</v>
      </c>
      <c r="E51" s="40">
        <v>67000</v>
      </c>
      <c r="F51" s="4">
        <f>+'1.32'!G44</f>
        <v>188000</v>
      </c>
      <c r="G51" s="313">
        <f t="shared" si="8"/>
        <v>12596000000</v>
      </c>
      <c r="H51" s="313"/>
      <c r="I51" s="313">
        <f t="shared" si="9"/>
        <v>0</v>
      </c>
      <c r="K51" s="344"/>
    </row>
    <row r="52" spans="2:11" ht="17.25" customHeight="1" x14ac:dyDescent="0.25">
      <c r="B52" s="303">
        <v>33</v>
      </c>
      <c r="C52" s="2" t="s">
        <v>436</v>
      </c>
      <c r="D52" s="5" t="s">
        <v>92</v>
      </c>
      <c r="E52" s="26">
        <v>3332</v>
      </c>
      <c r="F52" s="4">
        <f>+'1.33'!G49</f>
        <v>332900</v>
      </c>
      <c r="G52" s="313">
        <f t="shared" si="8"/>
        <v>1109222800</v>
      </c>
      <c r="H52" s="313"/>
      <c r="I52" s="313">
        <f t="shared" si="9"/>
        <v>0</v>
      </c>
      <c r="K52" s="344"/>
    </row>
    <row r="53" spans="2:11" ht="12.75" x14ac:dyDescent="0.25">
      <c r="B53" s="303">
        <v>34</v>
      </c>
      <c r="C53" s="2" t="s">
        <v>379</v>
      </c>
      <c r="D53" s="5" t="s">
        <v>92</v>
      </c>
      <c r="E53" s="26">
        <v>4</v>
      </c>
      <c r="F53" s="4">
        <f>+'1.34'!G43</f>
        <v>153824350</v>
      </c>
      <c r="G53" s="313">
        <f t="shared" si="8"/>
        <v>615297400</v>
      </c>
      <c r="H53" s="313"/>
      <c r="I53" s="313">
        <f t="shared" si="9"/>
        <v>0</v>
      </c>
      <c r="K53" s="344"/>
    </row>
    <row r="54" spans="2:11" ht="25.5" x14ac:dyDescent="0.25">
      <c r="B54" s="303">
        <v>35</v>
      </c>
      <c r="C54" s="2" t="s">
        <v>47</v>
      </c>
      <c r="D54" s="5" t="s">
        <v>91</v>
      </c>
      <c r="E54" s="26">
        <v>1</v>
      </c>
      <c r="F54" s="4">
        <v>80000000</v>
      </c>
      <c r="G54" s="313">
        <f t="shared" si="8"/>
        <v>80000000</v>
      </c>
      <c r="H54" s="313"/>
      <c r="I54" s="313">
        <f t="shared" si="9"/>
        <v>0</v>
      </c>
      <c r="K54" s="344"/>
    </row>
    <row r="55" spans="2:11" ht="12.75" x14ac:dyDescent="0.25">
      <c r="B55" s="358" t="s">
        <v>7</v>
      </c>
      <c r="C55" s="358"/>
      <c r="D55" s="358"/>
      <c r="E55" s="358"/>
      <c r="F55" s="358"/>
      <c r="G55" s="342">
        <f>SUM(G47:G54)</f>
        <v>22947527627</v>
      </c>
      <c r="H55" s="4"/>
      <c r="I55" s="342">
        <f>SUM(I47:I54)</f>
        <v>0</v>
      </c>
      <c r="K55" s="344"/>
    </row>
    <row r="56" spans="2:11" ht="12.75" x14ac:dyDescent="0.25">
      <c r="B56" s="367" t="s">
        <v>107</v>
      </c>
      <c r="C56" s="367"/>
      <c r="D56" s="367"/>
      <c r="E56" s="367"/>
      <c r="F56" s="367"/>
      <c r="G56" s="367"/>
      <c r="H56" s="339"/>
      <c r="I56" s="339"/>
      <c r="K56" s="344"/>
    </row>
    <row r="57" spans="2:11" ht="12.75" x14ac:dyDescent="0.25">
      <c r="B57" s="340">
        <v>36</v>
      </c>
      <c r="C57" s="2" t="s">
        <v>112</v>
      </c>
      <c r="D57" s="5" t="s">
        <v>91</v>
      </c>
      <c r="E57" s="3">
        <v>1</v>
      </c>
      <c r="F57" s="4">
        <v>2000000000</v>
      </c>
      <c r="G57" s="313">
        <f>ROUND(E57*F57,0)</f>
        <v>2000000000</v>
      </c>
      <c r="H57" s="4"/>
      <c r="I57" s="313">
        <f t="shared" ref="I57" si="10">ROUND(E57*H57,0)</f>
        <v>0</v>
      </c>
      <c r="J57" s="316" t="s">
        <v>385</v>
      </c>
      <c r="K57" s="344"/>
    </row>
    <row r="58" spans="2:11" ht="12.75" x14ac:dyDescent="0.25">
      <c r="B58" s="358" t="s">
        <v>50</v>
      </c>
      <c r="C58" s="358"/>
      <c r="D58" s="358"/>
      <c r="E58" s="358"/>
      <c r="F58" s="358"/>
      <c r="G58" s="342">
        <f>+SUM(G57:G57)</f>
        <v>2000000000</v>
      </c>
      <c r="H58" s="4"/>
      <c r="I58" s="4">
        <f>+SUM(I57:I57)</f>
        <v>0</v>
      </c>
      <c r="K58" s="344"/>
    </row>
    <row r="59" spans="2:11" ht="12.75" x14ac:dyDescent="0.25">
      <c r="B59" s="367" t="s">
        <v>108</v>
      </c>
      <c r="C59" s="367"/>
      <c r="D59" s="367"/>
      <c r="E59" s="367"/>
      <c r="F59" s="367"/>
      <c r="G59" s="367"/>
      <c r="H59" s="339"/>
      <c r="I59" s="339"/>
      <c r="K59" s="344"/>
    </row>
    <row r="60" spans="2:11" ht="12.75" x14ac:dyDescent="0.25">
      <c r="B60" s="340">
        <v>37</v>
      </c>
      <c r="C60" s="2" t="s">
        <v>96</v>
      </c>
      <c r="D60" s="340" t="s">
        <v>92</v>
      </c>
      <c r="E60" s="26">
        <v>254</v>
      </c>
      <c r="F60" s="26">
        <v>400000</v>
      </c>
      <c r="G60" s="313">
        <f>ROUND(E60*F60,0)</f>
        <v>101600000</v>
      </c>
      <c r="H60" s="26"/>
      <c r="I60" s="313">
        <f t="shared" ref="I60" si="11">ROUND(E60*H60,0)</f>
        <v>0</v>
      </c>
      <c r="K60" s="344"/>
    </row>
    <row r="61" spans="2:11" ht="12.75" x14ac:dyDescent="0.25">
      <c r="B61" s="358" t="s">
        <v>95</v>
      </c>
      <c r="C61" s="358"/>
      <c r="D61" s="358"/>
      <c r="E61" s="358"/>
      <c r="F61" s="358"/>
      <c r="G61" s="342">
        <f>+SUM(G60:G60)</f>
        <v>101600000</v>
      </c>
      <c r="H61" s="4"/>
      <c r="I61" s="342">
        <f>+SUM(I60:I60)</f>
        <v>0</v>
      </c>
      <c r="K61" s="344"/>
    </row>
    <row r="62" spans="2:11" ht="12.75" x14ac:dyDescent="0.25">
      <c r="B62" s="367" t="s">
        <v>113</v>
      </c>
      <c r="C62" s="367"/>
      <c r="D62" s="367"/>
      <c r="E62" s="367"/>
      <c r="F62" s="367"/>
      <c r="G62" s="367"/>
      <c r="H62" s="339"/>
      <c r="I62" s="339"/>
      <c r="K62" s="344"/>
    </row>
    <row r="63" spans="2:11" ht="12.75" x14ac:dyDescent="0.25">
      <c r="B63" s="304">
        <v>38</v>
      </c>
      <c r="C63" s="312" t="s">
        <v>381</v>
      </c>
      <c r="D63" s="5" t="s">
        <v>51</v>
      </c>
      <c r="E63" s="26">
        <v>1</v>
      </c>
      <c r="F63" s="4">
        <v>5800000000</v>
      </c>
      <c r="G63" s="313">
        <f>ROUND(E63*F63,0)</f>
        <v>5800000000</v>
      </c>
      <c r="H63" s="4"/>
      <c r="I63" s="313">
        <f t="shared" ref="I63" si="12">ROUND(E63*H63,0)</f>
        <v>0</v>
      </c>
      <c r="J63" s="316" t="s">
        <v>385</v>
      </c>
      <c r="K63" s="344"/>
    </row>
    <row r="64" spans="2:11" ht="12.75" x14ac:dyDescent="0.25">
      <c r="B64" s="358" t="s">
        <v>73</v>
      </c>
      <c r="C64" s="358"/>
      <c r="D64" s="358"/>
      <c r="E64" s="358"/>
      <c r="F64" s="358"/>
      <c r="G64" s="342">
        <f>+G63</f>
        <v>5800000000</v>
      </c>
      <c r="H64" s="4"/>
      <c r="I64" s="342">
        <f>+I63</f>
        <v>0</v>
      </c>
      <c r="K64" s="344"/>
    </row>
    <row r="65" spans="2:11" ht="12.75" x14ac:dyDescent="0.25">
      <c r="B65" s="367" t="s">
        <v>124</v>
      </c>
      <c r="C65" s="367"/>
      <c r="D65" s="367"/>
      <c r="E65" s="367"/>
      <c r="F65" s="367"/>
      <c r="G65" s="367"/>
      <c r="H65" s="339"/>
      <c r="I65" s="339"/>
      <c r="K65" s="344"/>
    </row>
    <row r="66" spans="2:11" ht="12.75" x14ac:dyDescent="0.25">
      <c r="B66" s="304">
        <v>39</v>
      </c>
      <c r="C66" s="312" t="s">
        <v>382</v>
      </c>
      <c r="D66" s="5" t="s">
        <v>51</v>
      </c>
      <c r="E66" s="26">
        <v>1</v>
      </c>
      <c r="F66" s="4">
        <v>4200000000</v>
      </c>
      <c r="G66" s="313">
        <f>ROUND(E66*F66,0)</f>
        <v>4200000000</v>
      </c>
      <c r="H66" s="4"/>
      <c r="I66" s="313">
        <f t="shared" ref="I66" si="13">ROUND(E66*H66,0)</f>
        <v>0</v>
      </c>
      <c r="J66" s="316" t="s">
        <v>385</v>
      </c>
      <c r="K66" s="344"/>
    </row>
    <row r="67" spans="2:11" ht="15.75" customHeight="1" x14ac:dyDescent="0.25">
      <c r="B67" s="358" t="s">
        <v>125</v>
      </c>
      <c r="C67" s="358"/>
      <c r="D67" s="358"/>
      <c r="E67" s="358"/>
      <c r="F67" s="358"/>
      <c r="G67" s="342">
        <f>+G66</f>
        <v>4200000000</v>
      </c>
      <c r="H67" s="4"/>
      <c r="I67" s="4">
        <f>+I66</f>
        <v>0</v>
      </c>
      <c r="K67" s="344"/>
    </row>
    <row r="68" spans="2:11" ht="17.25" customHeight="1" x14ac:dyDescent="0.25">
      <c r="B68" s="362" t="s">
        <v>131</v>
      </c>
      <c r="C68" s="362"/>
      <c r="D68" s="362"/>
      <c r="E68" s="362"/>
      <c r="F68" s="362"/>
      <c r="G68" s="9">
        <f>+G55+G58+G61+G45+G64+G67</f>
        <v>45036411017</v>
      </c>
      <c r="H68" s="9"/>
      <c r="I68" s="9">
        <f>+I55+I58+I61+I45+I64+I67</f>
        <v>0</v>
      </c>
      <c r="K68" s="344"/>
    </row>
    <row r="69" spans="2:11" ht="17.25" customHeight="1" x14ac:dyDescent="0.25">
      <c r="B69" s="362" t="s">
        <v>9</v>
      </c>
      <c r="C69" s="362"/>
      <c r="D69" s="362"/>
      <c r="E69" s="362"/>
      <c r="F69" s="362"/>
      <c r="G69" s="9">
        <f>+G68</f>
        <v>45036411017</v>
      </c>
      <c r="H69" s="9"/>
      <c r="I69" s="9">
        <f>+I68</f>
        <v>0</v>
      </c>
      <c r="K69" s="344"/>
    </row>
    <row r="70" spans="2:11" ht="32.25" customHeight="1" x14ac:dyDescent="0.25">
      <c r="B70" s="362" t="s">
        <v>435</v>
      </c>
      <c r="C70" s="362"/>
      <c r="D70" s="362"/>
      <c r="E70" s="362"/>
      <c r="F70" s="362"/>
      <c r="G70" s="9">
        <f>ROUND(G69*0.19*$E$76,0)</f>
        <v>427845905</v>
      </c>
      <c r="H70" s="9"/>
      <c r="I70" s="9">
        <f>ROUND(I69*0.19*$E$76,0)</f>
        <v>0</v>
      </c>
      <c r="K70" s="344"/>
    </row>
    <row r="71" spans="2:11" ht="16.5" customHeight="1" x14ac:dyDescent="0.25">
      <c r="B71" s="362" t="s">
        <v>10</v>
      </c>
      <c r="C71" s="362"/>
      <c r="D71" s="362"/>
      <c r="E71" s="362"/>
      <c r="F71" s="362"/>
      <c r="G71" s="9">
        <f>+G69+G70</f>
        <v>45464256922</v>
      </c>
      <c r="H71" s="9"/>
      <c r="I71" s="9">
        <f>+I69+I70</f>
        <v>0</v>
      </c>
      <c r="K71" s="344"/>
    </row>
    <row r="72" spans="2:11" ht="18" customHeight="1" x14ac:dyDescent="0.25">
      <c r="B72" s="378" t="s">
        <v>11</v>
      </c>
      <c r="C72" s="378"/>
      <c r="D72" s="378"/>
      <c r="E72" s="378"/>
      <c r="F72" s="378"/>
      <c r="G72" s="10">
        <f>+G71+F77</f>
        <v>56723359677</v>
      </c>
      <c r="H72" s="10"/>
      <c r="I72" s="10">
        <f>+I71+I77</f>
        <v>0</v>
      </c>
      <c r="K72" s="344"/>
    </row>
    <row r="73" spans="2:11" ht="12.75" customHeight="1" x14ac:dyDescent="0.25">
      <c r="B73" s="376" t="s">
        <v>1</v>
      </c>
      <c r="C73" s="376"/>
      <c r="D73" s="376"/>
      <c r="E73" s="341" t="s">
        <v>12</v>
      </c>
      <c r="F73" s="377" t="s">
        <v>13</v>
      </c>
      <c r="G73" s="377"/>
      <c r="H73" s="341"/>
      <c r="I73" s="341"/>
      <c r="K73" s="344"/>
    </row>
    <row r="74" spans="2:11" ht="16.5" x14ac:dyDescent="0.25">
      <c r="B74" s="361" t="s">
        <v>14</v>
      </c>
      <c r="C74" s="361"/>
      <c r="D74" s="11" t="s">
        <v>15</v>
      </c>
      <c r="E74" s="12">
        <v>0.15</v>
      </c>
      <c r="F74" s="360">
        <f>ROUND($G$69*E74,0)</f>
        <v>6755461653</v>
      </c>
      <c r="G74" s="360"/>
      <c r="H74" s="343"/>
      <c r="I74" s="338">
        <f>ROUND(H74*$I$69,0)</f>
        <v>0</v>
      </c>
      <c r="K74" s="344"/>
    </row>
    <row r="75" spans="2:11" ht="16.5" x14ac:dyDescent="0.25">
      <c r="B75" s="361" t="s">
        <v>16</v>
      </c>
      <c r="C75" s="361"/>
      <c r="D75" s="11" t="s">
        <v>17</v>
      </c>
      <c r="E75" s="12">
        <v>0.05</v>
      </c>
      <c r="F75" s="360">
        <f>ROUND($G$69*E75,0)</f>
        <v>2251820551</v>
      </c>
      <c r="G75" s="360"/>
      <c r="H75" s="343"/>
      <c r="I75" s="338">
        <f>ROUND(H75*$I$69,0)</f>
        <v>0</v>
      </c>
      <c r="K75" s="344"/>
    </row>
    <row r="76" spans="2:11" ht="16.5" x14ac:dyDescent="0.25">
      <c r="B76" s="361" t="s">
        <v>18</v>
      </c>
      <c r="C76" s="361"/>
      <c r="D76" s="11" t="s">
        <v>19</v>
      </c>
      <c r="E76" s="12">
        <v>0.05</v>
      </c>
      <c r="F76" s="360">
        <f>ROUND($G$69*E76,0)</f>
        <v>2251820551</v>
      </c>
      <c r="G76" s="360"/>
      <c r="H76" s="343"/>
      <c r="I76" s="338">
        <f>ROUND(H76*$I$69,0)</f>
        <v>0</v>
      </c>
      <c r="K76" s="344"/>
    </row>
    <row r="77" spans="2:11" ht="16.5" x14ac:dyDescent="0.25">
      <c r="B77" s="361" t="s">
        <v>20</v>
      </c>
      <c r="C77" s="361"/>
      <c r="D77" s="11" t="s">
        <v>21</v>
      </c>
      <c r="E77" s="12">
        <f>SUM(E74:E76)</f>
        <v>0.25</v>
      </c>
      <c r="F77" s="360">
        <f>SUM(F74:G76)</f>
        <v>11259102755</v>
      </c>
      <c r="G77" s="360"/>
      <c r="H77" s="12">
        <f>SUM(H74:H76)</f>
        <v>0</v>
      </c>
      <c r="I77" s="338">
        <f>SUM(I74:I76)</f>
        <v>0</v>
      </c>
      <c r="K77" s="344"/>
    </row>
    <row r="78" spans="2:11" ht="12.75" x14ac:dyDescent="0.25">
      <c r="B78" s="367" t="s">
        <v>126</v>
      </c>
      <c r="C78" s="367"/>
      <c r="D78" s="367"/>
      <c r="E78" s="367"/>
      <c r="F78" s="367"/>
      <c r="G78" s="367"/>
      <c r="H78" s="339"/>
      <c r="I78" s="339"/>
      <c r="K78" s="344"/>
    </row>
    <row r="79" spans="2:11" ht="12.75" x14ac:dyDescent="0.25">
      <c r="B79" s="158" t="s">
        <v>5</v>
      </c>
      <c r="C79" s="13" t="s">
        <v>22</v>
      </c>
      <c r="D79" s="14" t="s">
        <v>52</v>
      </c>
      <c r="E79" s="15" t="s">
        <v>3</v>
      </c>
      <c r="F79" s="305" t="s">
        <v>88</v>
      </c>
      <c r="G79" s="16" t="s">
        <v>4</v>
      </c>
      <c r="H79" s="16"/>
      <c r="I79" s="16"/>
      <c r="K79" s="344"/>
    </row>
    <row r="80" spans="2:11" ht="12.75" x14ac:dyDescent="0.25">
      <c r="B80" s="340">
        <v>40</v>
      </c>
      <c r="C80" s="2" t="s">
        <v>90</v>
      </c>
      <c r="D80" s="340" t="s">
        <v>6</v>
      </c>
      <c r="E80" s="26">
        <v>1</v>
      </c>
      <c r="F80" s="4">
        <v>11145472</v>
      </c>
      <c r="G80" s="313">
        <f t="shared" ref="G80:G107" si="14">ROUND(E80*F80,0)</f>
        <v>11145472</v>
      </c>
      <c r="H80" s="313"/>
      <c r="I80" s="313">
        <f>ROUND(E80*H80,0)</f>
        <v>0</v>
      </c>
      <c r="K80" s="344"/>
    </row>
    <row r="81" spans="2:11" ht="12.75" x14ac:dyDescent="0.25">
      <c r="B81" s="340">
        <v>41</v>
      </c>
      <c r="C81" s="2" t="s">
        <v>53</v>
      </c>
      <c r="D81" s="340" t="s">
        <v>6</v>
      </c>
      <c r="E81" s="26">
        <v>2</v>
      </c>
      <c r="F81" s="4">
        <v>7244557</v>
      </c>
      <c r="G81" s="313">
        <f t="shared" si="14"/>
        <v>14489114</v>
      </c>
      <c r="H81" s="313"/>
      <c r="I81" s="313">
        <f t="shared" ref="I81:I89" si="15">ROUND(E81*H81,0)</f>
        <v>0</v>
      </c>
      <c r="K81" s="344"/>
    </row>
    <row r="82" spans="2:11" ht="12.75" x14ac:dyDescent="0.25">
      <c r="B82" s="346">
        <v>42</v>
      </c>
      <c r="C82" s="2" t="s">
        <v>94</v>
      </c>
      <c r="D82" s="30" t="s">
        <v>6</v>
      </c>
      <c r="E82" s="26">
        <v>2</v>
      </c>
      <c r="F82" s="4">
        <v>1913018</v>
      </c>
      <c r="G82" s="313">
        <f t="shared" si="14"/>
        <v>3826036</v>
      </c>
      <c r="H82" s="313"/>
      <c r="I82" s="313">
        <f t="shared" si="15"/>
        <v>0</v>
      </c>
      <c r="K82" s="344"/>
    </row>
    <row r="83" spans="2:11" ht="12.75" x14ac:dyDescent="0.25">
      <c r="B83" s="351">
        <v>43</v>
      </c>
      <c r="C83" s="2" t="s">
        <v>439</v>
      </c>
      <c r="D83" s="30" t="s">
        <v>6</v>
      </c>
      <c r="E83" s="26">
        <v>1</v>
      </c>
      <c r="F83" s="4">
        <v>2500000</v>
      </c>
      <c r="G83" s="313">
        <f t="shared" si="14"/>
        <v>2500000</v>
      </c>
      <c r="H83" s="313"/>
      <c r="I83" s="313"/>
      <c r="K83" s="344"/>
    </row>
    <row r="84" spans="2:11" ht="12.75" x14ac:dyDescent="0.25">
      <c r="B84" s="351">
        <v>44</v>
      </c>
      <c r="C84" s="2" t="s">
        <v>84</v>
      </c>
      <c r="D84" s="340" t="s">
        <v>6</v>
      </c>
      <c r="E84" s="26">
        <v>6</v>
      </c>
      <c r="F84" s="4">
        <v>1337457</v>
      </c>
      <c r="G84" s="313">
        <f t="shared" si="14"/>
        <v>8024742</v>
      </c>
      <c r="H84" s="313"/>
      <c r="I84" s="313">
        <f t="shared" si="15"/>
        <v>0</v>
      </c>
      <c r="K84" s="344"/>
    </row>
    <row r="85" spans="2:11" ht="15" customHeight="1" x14ac:dyDescent="0.25">
      <c r="B85" s="351">
        <v>45</v>
      </c>
      <c r="C85" s="2" t="s">
        <v>54</v>
      </c>
      <c r="D85" s="340" t="s">
        <v>6</v>
      </c>
      <c r="E85" s="26">
        <v>16</v>
      </c>
      <c r="F85" s="4">
        <v>1458000</v>
      </c>
      <c r="G85" s="313">
        <f t="shared" si="14"/>
        <v>23328000</v>
      </c>
      <c r="H85" s="313"/>
      <c r="I85" s="313">
        <f t="shared" si="15"/>
        <v>0</v>
      </c>
      <c r="K85" s="344"/>
    </row>
    <row r="86" spans="2:11" ht="15" customHeight="1" x14ac:dyDescent="0.25">
      <c r="B86" s="351">
        <v>46</v>
      </c>
      <c r="C86" s="2" t="s">
        <v>429</v>
      </c>
      <c r="D86" s="340" t="s">
        <v>6</v>
      </c>
      <c r="E86" s="26">
        <v>160</v>
      </c>
      <c r="F86" s="4">
        <v>892160</v>
      </c>
      <c r="G86" s="313">
        <f t="shared" si="14"/>
        <v>142745600</v>
      </c>
      <c r="H86" s="313"/>
      <c r="I86" s="313">
        <f t="shared" si="15"/>
        <v>0</v>
      </c>
      <c r="K86" s="344"/>
    </row>
    <row r="87" spans="2:11" ht="15" customHeight="1" x14ac:dyDescent="0.25">
      <c r="B87" s="351">
        <v>47</v>
      </c>
      <c r="C87" s="2" t="s">
        <v>55</v>
      </c>
      <c r="D87" s="340" t="s">
        <v>6</v>
      </c>
      <c r="E87" s="26">
        <v>3</v>
      </c>
      <c r="F87" s="4">
        <v>1114547</v>
      </c>
      <c r="G87" s="313">
        <f t="shared" si="14"/>
        <v>3343641</v>
      </c>
      <c r="H87" s="313"/>
      <c r="I87" s="313">
        <f t="shared" si="15"/>
        <v>0</v>
      </c>
      <c r="K87" s="344"/>
    </row>
    <row r="88" spans="2:11" ht="15" customHeight="1" x14ac:dyDescent="0.25">
      <c r="B88" s="351">
        <v>48</v>
      </c>
      <c r="C88" s="2" t="s">
        <v>115</v>
      </c>
      <c r="D88" s="340" t="s">
        <v>6</v>
      </c>
      <c r="E88" s="26">
        <v>1</v>
      </c>
      <c r="F88" s="4">
        <v>2229095</v>
      </c>
      <c r="G88" s="313">
        <f t="shared" si="14"/>
        <v>2229095</v>
      </c>
      <c r="H88" s="313"/>
      <c r="I88" s="313">
        <f t="shared" si="15"/>
        <v>0</v>
      </c>
      <c r="K88" s="344"/>
    </row>
    <row r="89" spans="2:11" ht="15" customHeight="1" x14ac:dyDescent="0.25">
      <c r="B89" s="351">
        <v>49</v>
      </c>
      <c r="C89" s="2" t="s">
        <v>56</v>
      </c>
      <c r="D89" s="340" t="s">
        <v>6</v>
      </c>
      <c r="E89" s="26">
        <v>2</v>
      </c>
      <c r="F89" s="4">
        <v>1114547</v>
      </c>
      <c r="G89" s="313">
        <f t="shared" si="14"/>
        <v>2229094</v>
      </c>
      <c r="H89" s="313"/>
      <c r="I89" s="313">
        <f t="shared" si="15"/>
        <v>0</v>
      </c>
      <c r="K89" s="344"/>
    </row>
    <row r="90" spans="2:11" ht="12.75" x14ac:dyDescent="0.25">
      <c r="B90" s="158" t="s">
        <v>8</v>
      </c>
      <c r="C90" s="13" t="s">
        <v>23</v>
      </c>
      <c r="D90" s="17"/>
      <c r="E90" s="15"/>
      <c r="F90" s="16"/>
      <c r="G90" s="16"/>
      <c r="H90" s="16"/>
      <c r="I90" s="16"/>
      <c r="K90" s="344"/>
    </row>
    <row r="91" spans="2:11" ht="12.75" x14ac:dyDescent="0.25">
      <c r="B91" s="340">
        <v>50</v>
      </c>
      <c r="C91" s="2" t="s">
        <v>57</v>
      </c>
      <c r="D91" s="340" t="s">
        <v>6</v>
      </c>
      <c r="E91" s="26">
        <v>4</v>
      </c>
      <c r="F91" s="4">
        <v>4352000</v>
      </c>
      <c r="G91" s="313">
        <f t="shared" si="14"/>
        <v>17408000</v>
      </c>
      <c r="H91" s="313"/>
      <c r="I91" s="313">
        <f t="shared" ref="I91:I92" si="16">ROUND(E91*H91,0)</f>
        <v>0</v>
      </c>
      <c r="K91" s="344"/>
    </row>
    <row r="92" spans="2:11" ht="12.75" x14ac:dyDescent="0.25">
      <c r="B92" s="340">
        <v>51</v>
      </c>
      <c r="C92" s="2" t="s">
        <v>58</v>
      </c>
      <c r="D92" s="340" t="s">
        <v>6</v>
      </c>
      <c r="E92" s="26">
        <v>4</v>
      </c>
      <c r="F92" s="4">
        <v>1632000</v>
      </c>
      <c r="G92" s="313">
        <f t="shared" si="14"/>
        <v>6528000</v>
      </c>
      <c r="H92" s="313"/>
      <c r="I92" s="313">
        <f t="shared" si="16"/>
        <v>0</v>
      </c>
      <c r="K92" s="344"/>
    </row>
    <row r="93" spans="2:11" ht="12.75" x14ac:dyDescent="0.25">
      <c r="B93" s="158" t="s">
        <v>24</v>
      </c>
      <c r="C93" s="13" t="s">
        <v>59</v>
      </c>
      <c r="D93" s="17"/>
      <c r="E93" s="15"/>
      <c r="F93" s="16"/>
      <c r="G93" s="16"/>
      <c r="H93" s="16"/>
      <c r="I93" s="16"/>
      <c r="K93" s="344"/>
    </row>
    <row r="94" spans="2:11" ht="12.75" x14ac:dyDescent="0.25">
      <c r="B94" s="340">
        <v>52</v>
      </c>
      <c r="C94" s="2" t="s">
        <v>25</v>
      </c>
      <c r="D94" s="340" t="s">
        <v>6</v>
      </c>
      <c r="E94" s="26">
        <v>1</v>
      </c>
      <c r="F94" s="4">
        <v>7244557</v>
      </c>
      <c r="G94" s="313">
        <f t="shared" si="14"/>
        <v>7244557</v>
      </c>
      <c r="H94" s="313"/>
      <c r="I94" s="313">
        <f t="shared" ref="I94:I98" si="17">ROUND(E94*H94,0)</f>
        <v>0</v>
      </c>
      <c r="K94" s="344"/>
    </row>
    <row r="95" spans="2:11" ht="12.75" x14ac:dyDescent="0.25">
      <c r="B95" s="340">
        <v>53</v>
      </c>
      <c r="C95" s="2" t="s">
        <v>110</v>
      </c>
      <c r="D95" s="340" t="s">
        <v>6</v>
      </c>
      <c r="E95" s="26">
        <v>1</v>
      </c>
      <c r="F95" s="4">
        <v>2460000</v>
      </c>
      <c r="G95" s="313">
        <f t="shared" si="14"/>
        <v>2460000</v>
      </c>
      <c r="H95" s="313"/>
      <c r="I95" s="313">
        <f t="shared" si="17"/>
        <v>0</v>
      </c>
      <c r="K95" s="344"/>
    </row>
    <row r="96" spans="2:11" ht="12.75" x14ac:dyDescent="0.25">
      <c r="B96" s="351">
        <v>54</v>
      </c>
      <c r="C96" s="2" t="s">
        <v>60</v>
      </c>
      <c r="D96" s="340" t="s">
        <v>6</v>
      </c>
      <c r="E96" s="26">
        <v>2</v>
      </c>
      <c r="F96" s="4">
        <v>2720000</v>
      </c>
      <c r="G96" s="313">
        <f t="shared" si="14"/>
        <v>5440000</v>
      </c>
      <c r="H96" s="313"/>
      <c r="I96" s="313">
        <f t="shared" si="17"/>
        <v>0</v>
      </c>
      <c r="K96" s="344"/>
    </row>
    <row r="97" spans="2:11" ht="12.75" x14ac:dyDescent="0.25">
      <c r="B97" s="351">
        <v>55</v>
      </c>
      <c r="C97" s="2" t="s">
        <v>58</v>
      </c>
      <c r="D97" s="340" t="s">
        <v>6</v>
      </c>
      <c r="E97" s="26">
        <v>1</v>
      </c>
      <c r="F97" s="4">
        <v>1632000</v>
      </c>
      <c r="G97" s="313">
        <f t="shared" si="14"/>
        <v>1632000</v>
      </c>
      <c r="H97" s="313"/>
      <c r="I97" s="313">
        <f t="shared" si="17"/>
        <v>0</v>
      </c>
      <c r="K97" s="344"/>
    </row>
    <row r="98" spans="2:11" ht="12.75" x14ac:dyDescent="0.25">
      <c r="B98" s="351">
        <v>56</v>
      </c>
      <c r="C98" s="2" t="s">
        <v>61</v>
      </c>
      <c r="D98" s="340" t="s">
        <v>6</v>
      </c>
      <c r="E98" s="26">
        <v>1</v>
      </c>
      <c r="F98" s="306">
        <v>2720000</v>
      </c>
      <c r="G98" s="313">
        <f t="shared" si="14"/>
        <v>2720000</v>
      </c>
      <c r="H98" s="313"/>
      <c r="I98" s="313">
        <f t="shared" si="17"/>
        <v>0</v>
      </c>
      <c r="K98" s="344"/>
    </row>
    <row r="99" spans="2:11" ht="12.75" x14ac:dyDescent="0.25">
      <c r="B99" s="158" t="s">
        <v>26</v>
      </c>
      <c r="C99" s="13" t="s">
        <v>27</v>
      </c>
      <c r="D99" s="17"/>
      <c r="E99" s="15"/>
      <c r="F99" s="16"/>
      <c r="G99" s="16"/>
      <c r="H99" s="16"/>
      <c r="I99" s="16"/>
      <c r="K99" s="344"/>
    </row>
    <row r="100" spans="2:11" ht="12.75" x14ac:dyDescent="0.25">
      <c r="B100" s="340">
        <v>57</v>
      </c>
      <c r="C100" s="2" t="s">
        <v>97</v>
      </c>
      <c r="D100" s="5" t="s">
        <v>6</v>
      </c>
      <c r="E100" s="26">
        <v>3</v>
      </c>
      <c r="F100" s="4">
        <v>4729536</v>
      </c>
      <c r="G100" s="313">
        <f t="shared" si="14"/>
        <v>14188608</v>
      </c>
      <c r="H100" s="313"/>
      <c r="I100" s="313">
        <f>ROUND(E100*H100,0)</f>
        <v>0</v>
      </c>
      <c r="K100" s="344"/>
    </row>
    <row r="101" spans="2:11" ht="12.75" x14ac:dyDescent="0.25">
      <c r="B101" s="158" t="s">
        <v>28</v>
      </c>
      <c r="C101" s="13" t="s">
        <v>99</v>
      </c>
      <c r="D101" s="17"/>
      <c r="E101" s="15"/>
      <c r="F101" s="16"/>
      <c r="G101" s="16"/>
      <c r="H101" s="16"/>
      <c r="I101" s="16"/>
      <c r="K101" s="344"/>
    </row>
    <row r="102" spans="2:11" ht="12.75" x14ac:dyDescent="0.25">
      <c r="B102" s="340">
        <v>58</v>
      </c>
      <c r="C102" s="2" t="s">
        <v>98</v>
      </c>
      <c r="D102" s="5" t="s">
        <v>91</v>
      </c>
      <c r="E102" s="26">
        <v>1</v>
      </c>
      <c r="F102" s="4">
        <v>420000000</v>
      </c>
      <c r="G102" s="313">
        <f t="shared" si="14"/>
        <v>420000000</v>
      </c>
      <c r="H102" s="313"/>
      <c r="I102" s="313">
        <f t="shared" ref="I102:I103" si="18">ROUND(E102*H102,0)</f>
        <v>0</v>
      </c>
      <c r="J102" s="316" t="s">
        <v>385</v>
      </c>
      <c r="K102" s="344"/>
    </row>
    <row r="103" spans="2:11" ht="12.75" x14ac:dyDescent="0.25">
      <c r="B103" s="340">
        <v>59</v>
      </c>
      <c r="C103" s="2" t="s">
        <v>100</v>
      </c>
      <c r="D103" s="5" t="s">
        <v>91</v>
      </c>
      <c r="E103" s="26">
        <v>1</v>
      </c>
      <c r="F103" s="4">
        <v>50000000</v>
      </c>
      <c r="G103" s="313">
        <f t="shared" si="14"/>
        <v>50000000</v>
      </c>
      <c r="H103" s="313"/>
      <c r="I103" s="313">
        <f t="shared" si="18"/>
        <v>0</v>
      </c>
      <c r="J103" s="316" t="s">
        <v>385</v>
      </c>
      <c r="K103" s="344"/>
    </row>
    <row r="104" spans="2:11" ht="12.75" x14ac:dyDescent="0.25">
      <c r="B104" s="158" t="s">
        <v>29</v>
      </c>
      <c r="C104" s="13" t="s">
        <v>30</v>
      </c>
      <c r="D104" s="18"/>
      <c r="E104" s="28"/>
      <c r="F104" s="19"/>
      <c r="G104" s="19"/>
      <c r="H104" s="19"/>
      <c r="I104" s="19"/>
      <c r="K104" s="344"/>
    </row>
    <row r="105" spans="2:11" ht="12.75" x14ac:dyDescent="0.25">
      <c r="B105" s="340">
        <v>60</v>
      </c>
      <c r="C105" s="27" t="s">
        <v>384</v>
      </c>
      <c r="D105" s="317" t="s">
        <v>6</v>
      </c>
      <c r="E105" s="318">
        <v>1</v>
      </c>
      <c r="F105" s="306">
        <v>5500000</v>
      </c>
      <c r="G105" s="313">
        <f t="shared" si="14"/>
        <v>5500000</v>
      </c>
      <c r="H105" s="313"/>
      <c r="I105" s="313">
        <f t="shared" ref="I105:I107" si="19">ROUND(E105*H105,0)</f>
        <v>0</v>
      </c>
      <c r="K105" s="344"/>
    </row>
    <row r="106" spans="2:11" ht="12.75" x14ac:dyDescent="0.25">
      <c r="B106" s="340">
        <v>61</v>
      </c>
      <c r="C106" s="27" t="s">
        <v>383</v>
      </c>
      <c r="D106" s="317" t="s">
        <v>6</v>
      </c>
      <c r="E106" s="318">
        <v>1</v>
      </c>
      <c r="F106" s="306">
        <v>5722500</v>
      </c>
      <c r="G106" s="313">
        <f t="shared" si="14"/>
        <v>5722500</v>
      </c>
      <c r="H106" s="313"/>
      <c r="I106" s="313">
        <f t="shared" si="19"/>
        <v>0</v>
      </c>
      <c r="K106" s="344"/>
    </row>
    <row r="107" spans="2:11" ht="12.75" x14ac:dyDescent="0.25">
      <c r="B107" s="340">
        <v>62</v>
      </c>
      <c r="C107" s="27" t="s">
        <v>31</v>
      </c>
      <c r="D107" s="317" t="s">
        <v>6</v>
      </c>
      <c r="E107" s="318">
        <v>1</v>
      </c>
      <c r="F107" s="306">
        <v>4000000</v>
      </c>
      <c r="G107" s="313">
        <f t="shared" si="14"/>
        <v>4000000</v>
      </c>
      <c r="H107" s="313"/>
      <c r="I107" s="313">
        <f t="shared" si="19"/>
        <v>0</v>
      </c>
      <c r="K107" s="344"/>
    </row>
    <row r="108" spans="2:11" ht="12.75" x14ac:dyDescent="0.25">
      <c r="B108" s="358" t="s">
        <v>32</v>
      </c>
      <c r="C108" s="358"/>
      <c r="D108" s="358"/>
      <c r="E108" s="358"/>
      <c r="F108" s="358"/>
      <c r="G108" s="4">
        <f>+SUM(G80:G98)</f>
        <v>257293351</v>
      </c>
      <c r="H108" s="4"/>
      <c r="I108" s="4">
        <f>+SUM(I80:I98)</f>
        <v>0</v>
      </c>
      <c r="K108" s="344"/>
    </row>
    <row r="109" spans="2:11" ht="12.75" x14ac:dyDescent="0.25">
      <c r="B109" s="358" t="s">
        <v>33</v>
      </c>
      <c r="C109" s="358"/>
      <c r="D109" s="358"/>
      <c r="E109" s="358"/>
      <c r="F109" s="358"/>
      <c r="G109" s="4">
        <f>+SUM(G100:G100)+SUM(G105:G107)</f>
        <v>29411108</v>
      </c>
      <c r="H109" s="4"/>
      <c r="I109" s="4">
        <f>+SUM(I100:I100)+SUM(I105:I107)</f>
        <v>0</v>
      </c>
      <c r="K109" s="344"/>
    </row>
    <row r="110" spans="2:11" ht="12.75" x14ac:dyDescent="0.25">
      <c r="B110" s="358" t="s">
        <v>101</v>
      </c>
      <c r="C110" s="358"/>
      <c r="D110" s="358"/>
      <c r="E110" s="358"/>
      <c r="F110" s="358"/>
      <c r="G110" s="4">
        <f>SUM(G102:G103)</f>
        <v>470000000</v>
      </c>
      <c r="H110" s="4"/>
      <c r="I110" s="4">
        <f>SUM(I102:I103)</f>
        <v>0</v>
      </c>
      <c r="K110" s="344"/>
    </row>
    <row r="111" spans="2:11" ht="12.75" x14ac:dyDescent="0.25">
      <c r="B111" s="358" t="s">
        <v>34</v>
      </c>
      <c r="C111" s="358"/>
      <c r="D111" s="358"/>
      <c r="E111" s="358"/>
      <c r="F111" s="358"/>
      <c r="G111" s="4">
        <f>+G108+G109</f>
        <v>286704459</v>
      </c>
      <c r="H111" s="4"/>
      <c r="I111" s="4">
        <f>+I108+I109</f>
        <v>0</v>
      </c>
      <c r="K111" s="344"/>
    </row>
    <row r="112" spans="2:11" ht="12.75" x14ac:dyDescent="0.25">
      <c r="B112" s="367" t="s">
        <v>127</v>
      </c>
      <c r="C112" s="367"/>
      <c r="D112" s="367"/>
      <c r="E112" s="367"/>
      <c r="F112" s="367"/>
      <c r="G112" s="367"/>
      <c r="H112" s="339"/>
      <c r="I112" s="339"/>
      <c r="K112" s="344"/>
    </row>
    <row r="113" spans="2:11" ht="12.75" x14ac:dyDescent="0.25">
      <c r="B113" s="158" t="s">
        <v>5</v>
      </c>
      <c r="C113" s="20" t="s">
        <v>35</v>
      </c>
      <c r="D113" s="17"/>
      <c r="E113" s="15"/>
      <c r="F113" s="16"/>
      <c r="G113" s="16"/>
      <c r="H113" s="16"/>
      <c r="I113" s="16"/>
      <c r="K113" s="344"/>
    </row>
    <row r="114" spans="2:11" ht="12.75" x14ac:dyDescent="0.25">
      <c r="B114" s="340">
        <v>63</v>
      </c>
      <c r="C114" s="29" t="s">
        <v>62</v>
      </c>
      <c r="D114" s="5" t="s">
        <v>6</v>
      </c>
      <c r="E114" s="26">
        <v>1</v>
      </c>
      <c r="F114" s="4">
        <v>2003956</v>
      </c>
      <c r="G114" s="313">
        <f t="shared" ref="G114:G117" si="20">ROUND(E114*F114,0)</f>
        <v>2003956</v>
      </c>
      <c r="H114" s="313"/>
      <c r="I114" s="313">
        <f t="shared" ref="I114:I117" si="21">ROUND(E114*H114,0)</f>
        <v>0</v>
      </c>
      <c r="K114" s="344"/>
    </row>
    <row r="115" spans="2:11" ht="12.75" x14ac:dyDescent="0.25">
      <c r="B115" s="340">
        <v>64</v>
      </c>
      <c r="C115" s="29" t="s">
        <v>63</v>
      </c>
      <c r="D115" s="5" t="s">
        <v>6</v>
      </c>
      <c r="E115" s="26">
        <v>20</v>
      </c>
      <c r="F115" s="4">
        <v>2786368</v>
      </c>
      <c r="G115" s="313">
        <f t="shared" si="20"/>
        <v>55727360</v>
      </c>
      <c r="H115" s="313"/>
      <c r="I115" s="313">
        <f t="shared" si="21"/>
        <v>0</v>
      </c>
      <c r="K115" s="344"/>
    </row>
    <row r="116" spans="2:11" ht="12.75" x14ac:dyDescent="0.25">
      <c r="B116" s="340">
        <v>65</v>
      </c>
      <c r="C116" s="29" t="s">
        <v>64</v>
      </c>
      <c r="D116" s="5" t="s">
        <v>6</v>
      </c>
      <c r="E116" s="26">
        <v>7</v>
      </c>
      <c r="F116" s="4">
        <v>1307017</v>
      </c>
      <c r="G116" s="313">
        <f t="shared" si="20"/>
        <v>9149119</v>
      </c>
      <c r="H116" s="313"/>
      <c r="I116" s="313">
        <f t="shared" si="21"/>
        <v>0</v>
      </c>
      <c r="K116" s="344"/>
    </row>
    <row r="117" spans="2:11" ht="12.75" x14ac:dyDescent="0.25">
      <c r="B117" s="340">
        <v>66</v>
      </c>
      <c r="C117" s="29" t="s">
        <v>111</v>
      </c>
      <c r="D117" s="5" t="s">
        <v>6</v>
      </c>
      <c r="E117" s="26">
        <v>3</v>
      </c>
      <c r="F117" s="4">
        <v>1448912</v>
      </c>
      <c r="G117" s="313">
        <f t="shared" si="20"/>
        <v>4346736</v>
      </c>
      <c r="H117" s="313"/>
      <c r="I117" s="313">
        <f t="shared" si="21"/>
        <v>0</v>
      </c>
      <c r="K117" s="344"/>
    </row>
    <row r="118" spans="2:11" ht="12.75" x14ac:dyDescent="0.25">
      <c r="B118" s="358" t="s">
        <v>36</v>
      </c>
      <c r="C118" s="358"/>
      <c r="D118" s="358"/>
      <c r="E118" s="358"/>
      <c r="F118" s="358"/>
      <c r="G118" s="4">
        <f>SUM(G114:G117)</f>
        <v>71227171</v>
      </c>
      <c r="H118" s="4"/>
      <c r="I118" s="4">
        <f>SUM(I114:I117)</f>
        <v>0</v>
      </c>
      <c r="K118" s="344"/>
    </row>
    <row r="119" spans="2:11" ht="12.75" x14ac:dyDescent="0.2">
      <c r="B119" s="158" t="s">
        <v>8</v>
      </c>
      <c r="C119" s="20" t="s">
        <v>37</v>
      </c>
      <c r="D119" s="6"/>
      <c r="E119" s="7"/>
      <c r="F119" s="8"/>
      <c r="G119" s="8"/>
      <c r="H119" s="8"/>
      <c r="I119" s="8"/>
      <c r="K119" s="344"/>
    </row>
    <row r="120" spans="2:11" ht="12.75" x14ac:dyDescent="0.25">
      <c r="B120" s="340">
        <v>67</v>
      </c>
      <c r="C120" s="29" t="s">
        <v>65</v>
      </c>
      <c r="D120" s="5" t="s">
        <v>6</v>
      </c>
      <c r="E120" s="26">
        <v>28</v>
      </c>
      <c r="F120" s="4">
        <v>561350</v>
      </c>
      <c r="G120" s="313">
        <f t="shared" ref="G120" si="22">ROUND(E120*F120,0)</f>
        <v>15717800</v>
      </c>
      <c r="H120" s="313"/>
      <c r="I120" s="313">
        <f t="shared" ref="I120" si="23">ROUND(E120*H120,0)</f>
        <v>0</v>
      </c>
      <c r="K120" s="344"/>
    </row>
    <row r="121" spans="2:11" ht="12.75" x14ac:dyDescent="0.25">
      <c r="B121" s="358" t="s">
        <v>38</v>
      </c>
      <c r="C121" s="358"/>
      <c r="D121" s="358"/>
      <c r="E121" s="358"/>
      <c r="F121" s="358"/>
      <c r="G121" s="4">
        <f>SUM(G120:G120)</f>
        <v>15717800</v>
      </c>
      <c r="H121" s="4"/>
      <c r="I121" s="4">
        <f>SUM(I120:I120)</f>
        <v>0</v>
      </c>
      <c r="K121" s="344"/>
    </row>
    <row r="122" spans="2:11" ht="12.75" x14ac:dyDescent="0.25">
      <c r="B122" s="339" t="s">
        <v>128</v>
      </c>
      <c r="C122" s="339"/>
      <c r="D122" s="339"/>
      <c r="E122" s="339"/>
      <c r="F122" s="339"/>
      <c r="G122" s="339"/>
      <c r="H122" s="339"/>
      <c r="I122" s="339"/>
      <c r="K122" s="344"/>
    </row>
    <row r="123" spans="2:11" ht="12.75" x14ac:dyDescent="0.25">
      <c r="B123" s="340">
        <v>68</v>
      </c>
      <c r="C123" s="2" t="s">
        <v>116</v>
      </c>
      <c r="D123" s="5" t="s">
        <v>6</v>
      </c>
      <c r="E123" s="26">
        <v>1</v>
      </c>
      <c r="F123" s="4">
        <v>7500000</v>
      </c>
      <c r="G123" s="313">
        <f t="shared" ref="G123:G135" si="24">ROUND(E123*F123,0)</f>
        <v>7500000</v>
      </c>
      <c r="H123" s="4"/>
      <c r="I123" s="313">
        <f t="shared" ref="I123:I135" si="25">ROUND(E123*H123,0)</f>
        <v>0</v>
      </c>
      <c r="K123" s="344"/>
    </row>
    <row r="124" spans="2:11" ht="12.75" x14ac:dyDescent="0.25">
      <c r="B124" s="340">
        <v>69</v>
      </c>
      <c r="C124" s="2" t="s">
        <v>66</v>
      </c>
      <c r="D124" s="5" t="s">
        <v>6</v>
      </c>
      <c r="E124" s="26">
        <v>1</v>
      </c>
      <c r="F124" s="4">
        <v>7410000</v>
      </c>
      <c r="G124" s="313">
        <f t="shared" si="24"/>
        <v>7410000</v>
      </c>
      <c r="H124" s="4"/>
      <c r="I124" s="313">
        <f t="shared" si="25"/>
        <v>0</v>
      </c>
      <c r="K124" s="344"/>
    </row>
    <row r="125" spans="2:11" ht="12.75" x14ac:dyDescent="0.25">
      <c r="B125" s="340">
        <v>70</v>
      </c>
      <c r="C125" s="2" t="s">
        <v>67</v>
      </c>
      <c r="D125" s="5" t="s">
        <v>6</v>
      </c>
      <c r="E125" s="26">
        <v>1</v>
      </c>
      <c r="F125" s="4">
        <v>7410000</v>
      </c>
      <c r="G125" s="313">
        <f t="shared" si="24"/>
        <v>7410000</v>
      </c>
      <c r="H125" s="4"/>
      <c r="I125" s="313">
        <f t="shared" si="25"/>
        <v>0</v>
      </c>
      <c r="K125" s="344"/>
    </row>
    <row r="126" spans="2:11" ht="12.75" x14ac:dyDescent="0.25">
      <c r="B126" s="351">
        <v>71</v>
      </c>
      <c r="C126" s="2" t="s">
        <v>68</v>
      </c>
      <c r="D126" s="5" t="s">
        <v>6</v>
      </c>
      <c r="E126" s="26">
        <v>1</v>
      </c>
      <c r="F126" s="4">
        <v>7410000</v>
      </c>
      <c r="G126" s="313">
        <f t="shared" si="24"/>
        <v>7410000</v>
      </c>
      <c r="H126" s="4"/>
      <c r="I126" s="313">
        <f t="shared" si="25"/>
        <v>0</v>
      </c>
      <c r="K126" s="344"/>
    </row>
    <row r="127" spans="2:11" ht="12.75" x14ac:dyDescent="0.25">
      <c r="B127" s="351">
        <v>72</v>
      </c>
      <c r="C127" s="2" t="s">
        <v>117</v>
      </c>
      <c r="D127" s="5" t="s">
        <v>6</v>
      </c>
      <c r="E127" s="26">
        <v>1</v>
      </c>
      <c r="F127" s="4">
        <v>7410000</v>
      </c>
      <c r="G127" s="313">
        <f t="shared" si="24"/>
        <v>7410000</v>
      </c>
      <c r="H127" s="4"/>
      <c r="I127" s="313">
        <f t="shared" si="25"/>
        <v>0</v>
      </c>
      <c r="K127" s="344"/>
    </row>
    <row r="128" spans="2:11" ht="12.75" x14ac:dyDescent="0.25">
      <c r="B128" s="351">
        <v>73</v>
      </c>
      <c r="C128" s="2" t="s">
        <v>118</v>
      </c>
      <c r="D128" s="5" t="s">
        <v>6</v>
      </c>
      <c r="E128" s="26">
        <v>1</v>
      </c>
      <c r="F128" s="4">
        <v>7410000</v>
      </c>
      <c r="G128" s="313">
        <f t="shared" si="24"/>
        <v>7410000</v>
      </c>
      <c r="H128" s="4"/>
      <c r="I128" s="313">
        <f t="shared" si="25"/>
        <v>0</v>
      </c>
      <c r="K128" s="344"/>
    </row>
    <row r="129" spans="2:11" ht="12.75" x14ac:dyDescent="0.25">
      <c r="B129" s="351">
        <v>74</v>
      </c>
      <c r="C129" s="2" t="s">
        <v>69</v>
      </c>
      <c r="D129" s="5" t="s">
        <v>6</v>
      </c>
      <c r="E129" s="26">
        <v>1</v>
      </c>
      <c r="F129" s="4">
        <v>7410000</v>
      </c>
      <c r="G129" s="313">
        <f t="shared" si="24"/>
        <v>7410000</v>
      </c>
      <c r="H129" s="4"/>
      <c r="I129" s="313">
        <f t="shared" si="25"/>
        <v>0</v>
      </c>
      <c r="K129" s="344"/>
    </row>
    <row r="130" spans="2:11" ht="12.75" x14ac:dyDescent="0.25">
      <c r="B130" s="351">
        <v>75</v>
      </c>
      <c r="C130" s="2" t="s">
        <v>70</v>
      </c>
      <c r="D130" s="5" t="s">
        <v>6</v>
      </c>
      <c r="E130" s="26">
        <v>1</v>
      </c>
      <c r="F130" s="4">
        <v>7410000</v>
      </c>
      <c r="G130" s="313">
        <f t="shared" si="24"/>
        <v>7410000</v>
      </c>
      <c r="H130" s="4"/>
      <c r="I130" s="313">
        <f t="shared" si="25"/>
        <v>0</v>
      </c>
      <c r="K130" s="344"/>
    </row>
    <row r="131" spans="2:11" ht="12.75" x14ac:dyDescent="0.25">
      <c r="B131" s="351">
        <v>76</v>
      </c>
      <c r="C131" s="2" t="s">
        <v>119</v>
      </c>
      <c r="D131" s="5" t="s">
        <v>6</v>
      </c>
      <c r="E131" s="26">
        <v>1</v>
      </c>
      <c r="F131" s="4">
        <v>7410000</v>
      </c>
      <c r="G131" s="313">
        <f t="shared" si="24"/>
        <v>7410000</v>
      </c>
      <c r="H131" s="4"/>
      <c r="I131" s="313">
        <f t="shared" si="25"/>
        <v>0</v>
      </c>
      <c r="K131" s="344"/>
    </row>
    <row r="132" spans="2:11" ht="12.75" x14ac:dyDescent="0.25">
      <c r="B132" s="351">
        <v>77</v>
      </c>
      <c r="C132" s="2" t="s">
        <v>120</v>
      </c>
      <c r="D132" s="5" t="s">
        <v>6</v>
      </c>
      <c r="E132" s="26">
        <v>1</v>
      </c>
      <c r="F132" s="4">
        <v>7410000</v>
      </c>
      <c r="G132" s="313">
        <f t="shared" si="24"/>
        <v>7410000</v>
      </c>
      <c r="H132" s="4"/>
      <c r="I132" s="313">
        <f t="shared" si="25"/>
        <v>0</v>
      </c>
      <c r="K132" s="344"/>
    </row>
    <row r="133" spans="2:11" ht="12.75" x14ac:dyDescent="0.25">
      <c r="B133" s="351">
        <v>78</v>
      </c>
      <c r="C133" s="2" t="s">
        <v>121</v>
      </c>
      <c r="D133" s="5" t="s">
        <v>6</v>
      </c>
      <c r="E133" s="26">
        <v>1</v>
      </c>
      <c r="F133" s="4">
        <v>7410000</v>
      </c>
      <c r="G133" s="313">
        <f t="shared" si="24"/>
        <v>7410000</v>
      </c>
      <c r="H133" s="4"/>
      <c r="I133" s="313">
        <f t="shared" si="25"/>
        <v>0</v>
      </c>
      <c r="K133" s="344"/>
    </row>
    <row r="134" spans="2:11" ht="12.75" x14ac:dyDescent="0.25">
      <c r="B134" s="351">
        <v>79</v>
      </c>
      <c r="C134" s="2" t="s">
        <v>387</v>
      </c>
      <c r="D134" s="5" t="s">
        <v>6</v>
      </c>
      <c r="E134" s="26">
        <v>1</v>
      </c>
      <c r="F134" s="4">
        <v>7410000</v>
      </c>
      <c r="G134" s="313">
        <f t="shared" si="24"/>
        <v>7410000</v>
      </c>
      <c r="H134" s="4"/>
      <c r="I134" s="313">
        <f t="shared" si="25"/>
        <v>0</v>
      </c>
      <c r="K134" s="344"/>
    </row>
    <row r="135" spans="2:11" ht="12.75" x14ac:dyDescent="0.25">
      <c r="B135" s="351">
        <v>80</v>
      </c>
      <c r="C135" s="2" t="s">
        <v>71</v>
      </c>
      <c r="D135" s="5" t="s">
        <v>6</v>
      </c>
      <c r="E135" s="26">
        <v>2</v>
      </c>
      <c r="F135" s="4">
        <v>7410000</v>
      </c>
      <c r="G135" s="313">
        <f t="shared" si="24"/>
        <v>14820000</v>
      </c>
      <c r="H135" s="4"/>
      <c r="I135" s="313">
        <f t="shared" si="25"/>
        <v>0</v>
      </c>
      <c r="K135" s="344"/>
    </row>
    <row r="136" spans="2:11" ht="12.75" x14ac:dyDescent="0.25">
      <c r="B136" s="358" t="s">
        <v>39</v>
      </c>
      <c r="C136" s="358"/>
      <c r="D136" s="358"/>
      <c r="E136" s="358"/>
      <c r="F136" s="358"/>
      <c r="G136" s="4">
        <f>SUM(G123:G135)</f>
        <v>103830000</v>
      </c>
      <c r="H136" s="4"/>
      <c r="I136" s="4">
        <f>SUM(I123:I135)</f>
        <v>0</v>
      </c>
      <c r="K136" s="344"/>
    </row>
    <row r="137" spans="2:11" ht="12.75" x14ac:dyDescent="0.25">
      <c r="B137" s="359" t="s">
        <v>129</v>
      </c>
      <c r="C137" s="359"/>
      <c r="D137" s="359"/>
      <c r="E137" s="359"/>
      <c r="F137" s="359"/>
      <c r="G137" s="359"/>
      <c r="H137" s="337"/>
      <c r="I137" s="337"/>
      <c r="K137" s="344"/>
    </row>
    <row r="138" spans="2:11" ht="12.75" x14ac:dyDescent="0.25">
      <c r="B138" s="158" t="s">
        <v>5</v>
      </c>
      <c r="C138" s="20" t="s">
        <v>76</v>
      </c>
      <c r="D138" s="15"/>
      <c r="E138" s="16"/>
      <c r="F138" s="16"/>
      <c r="G138" s="16"/>
      <c r="H138" s="16"/>
      <c r="I138" s="16"/>
      <c r="K138" s="344"/>
    </row>
    <row r="139" spans="2:11" ht="12.75" x14ac:dyDescent="0.25">
      <c r="B139" s="340">
        <v>81</v>
      </c>
      <c r="C139" s="2" t="s">
        <v>72</v>
      </c>
      <c r="D139" s="5" t="s">
        <v>6</v>
      </c>
      <c r="E139" s="39">
        <v>2</v>
      </c>
      <c r="F139" s="4">
        <v>5015463</v>
      </c>
      <c r="G139" s="313">
        <f t="shared" ref="G139:G141" si="26">ROUND(E139*F139,0)</f>
        <v>10030926</v>
      </c>
      <c r="H139" s="313"/>
      <c r="I139" s="313">
        <f t="shared" ref="I139:I141" si="27">ROUND(E139*H139,0)</f>
        <v>0</v>
      </c>
      <c r="K139" s="344"/>
    </row>
    <row r="140" spans="2:11" ht="12.75" x14ac:dyDescent="0.25">
      <c r="B140" s="340">
        <v>82</v>
      </c>
      <c r="C140" s="2" t="s">
        <v>75</v>
      </c>
      <c r="D140" s="5" t="s">
        <v>6</v>
      </c>
      <c r="E140" s="39">
        <v>2</v>
      </c>
      <c r="F140" s="4">
        <v>5015463</v>
      </c>
      <c r="G140" s="313">
        <f t="shared" si="26"/>
        <v>10030926</v>
      </c>
      <c r="H140" s="313"/>
      <c r="I140" s="313">
        <f t="shared" si="27"/>
        <v>0</v>
      </c>
      <c r="K140" s="344"/>
    </row>
    <row r="141" spans="2:11" ht="12.75" x14ac:dyDescent="0.25">
      <c r="B141" s="340">
        <v>83</v>
      </c>
      <c r="C141" s="2" t="s">
        <v>123</v>
      </c>
      <c r="D141" s="5" t="s">
        <v>6</v>
      </c>
      <c r="E141" s="39">
        <v>2</v>
      </c>
      <c r="F141" s="4">
        <v>5015463</v>
      </c>
      <c r="G141" s="313">
        <f t="shared" si="26"/>
        <v>10030926</v>
      </c>
      <c r="H141" s="313"/>
      <c r="I141" s="313">
        <f t="shared" si="27"/>
        <v>0</v>
      </c>
      <c r="K141" s="344"/>
    </row>
    <row r="142" spans="2:11" ht="12.75" x14ac:dyDescent="0.25">
      <c r="B142" s="358" t="s">
        <v>80</v>
      </c>
      <c r="C142" s="358"/>
      <c r="D142" s="358"/>
      <c r="E142" s="358"/>
      <c r="F142" s="358"/>
      <c r="G142" s="4">
        <f>SUM(G139:G141)</f>
        <v>30092778</v>
      </c>
      <c r="H142" s="4"/>
      <c r="I142" s="4">
        <f>SUM(I139:I141)</f>
        <v>0</v>
      </c>
      <c r="K142" s="344"/>
    </row>
    <row r="143" spans="2:11" ht="12.75" x14ac:dyDescent="0.25">
      <c r="B143" s="158" t="s">
        <v>8</v>
      </c>
      <c r="C143" s="20" t="s">
        <v>27</v>
      </c>
      <c r="D143" s="15"/>
      <c r="E143" s="16"/>
      <c r="F143" s="16"/>
      <c r="G143" s="16"/>
      <c r="H143" s="16"/>
      <c r="I143" s="16"/>
      <c r="K143" s="344"/>
    </row>
    <row r="144" spans="2:11" ht="12.75" x14ac:dyDescent="0.25">
      <c r="B144" s="340">
        <v>84</v>
      </c>
      <c r="C144" s="2" t="s">
        <v>77</v>
      </c>
      <c r="D144" s="5" t="s">
        <v>6</v>
      </c>
      <c r="E144" s="39">
        <v>2</v>
      </c>
      <c r="F144" s="4">
        <v>4729536</v>
      </c>
      <c r="G144" s="313">
        <f t="shared" ref="G144" si="28">ROUND(E144*F144,0)</f>
        <v>9459072</v>
      </c>
      <c r="H144" s="4"/>
      <c r="I144" s="313">
        <f t="shared" ref="I144" si="29">ROUND(E144*H144,0)</f>
        <v>0</v>
      </c>
      <c r="K144" s="344"/>
    </row>
    <row r="145" spans="2:11" ht="12.75" x14ac:dyDescent="0.25">
      <c r="B145" s="358" t="s">
        <v>80</v>
      </c>
      <c r="C145" s="358"/>
      <c r="D145" s="358"/>
      <c r="E145" s="358"/>
      <c r="F145" s="358"/>
      <c r="G145" s="4">
        <f>+G144</f>
        <v>9459072</v>
      </c>
      <c r="H145" s="4"/>
      <c r="I145" s="4">
        <f>+I144</f>
        <v>0</v>
      </c>
      <c r="K145" s="344"/>
    </row>
    <row r="146" spans="2:11" ht="12.75" x14ac:dyDescent="0.25">
      <c r="B146" s="158" t="s">
        <v>24</v>
      </c>
      <c r="C146" s="20" t="s">
        <v>78</v>
      </c>
      <c r="D146" s="17"/>
      <c r="E146" s="15"/>
      <c r="F146" s="16"/>
      <c r="G146" s="16"/>
      <c r="H146" s="16"/>
      <c r="I146" s="16"/>
      <c r="K146" s="344"/>
    </row>
    <row r="147" spans="2:11" ht="32.25" customHeight="1" x14ac:dyDescent="0.25">
      <c r="B147" s="340">
        <v>85</v>
      </c>
      <c r="C147" s="2" t="s">
        <v>79</v>
      </c>
      <c r="D147" s="5" t="s">
        <v>51</v>
      </c>
      <c r="E147" s="3">
        <v>1</v>
      </c>
      <c r="F147" s="4">
        <v>950370005</v>
      </c>
      <c r="G147" s="313">
        <f t="shared" ref="G147" si="30">ROUND(E147*F147,0)</f>
        <v>950370005</v>
      </c>
      <c r="H147" s="313"/>
      <c r="I147" s="313">
        <f t="shared" ref="I147" si="31">ROUND(E147*H147,0)</f>
        <v>0</v>
      </c>
      <c r="J147" s="316" t="s">
        <v>385</v>
      </c>
      <c r="K147" s="344"/>
    </row>
    <row r="148" spans="2:11" ht="12.75" x14ac:dyDescent="0.25">
      <c r="B148" s="358" t="s">
        <v>80</v>
      </c>
      <c r="C148" s="358"/>
      <c r="D148" s="358"/>
      <c r="E148" s="358"/>
      <c r="F148" s="358"/>
      <c r="G148" s="4">
        <f>+G147</f>
        <v>950370005</v>
      </c>
      <c r="H148" s="4"/>
      <c r="I148" s="4">
        <f>+I147</f>
        <v>0</v>
      </c>
      <c r="K148" s="344"/>
    </row>
    <row r="149" spans="2:11" ht="16.5" customHeight="1" x14ac:dyDescent="0.25">
      <c r="B149" s="362" t="s">
        <v>40</v>
      </c>
      <c r="C149" s="362"/>
      <c r="D149" s="362"/>
      <c r="E149" s="362"/>
      <c r="F149" s="362"/>
      <c r="G149" s="9">
        <f>+G118+G108+G142</f>
        <v>358613300</v>
      </c>
      <c r="H149" s="9"/>
      <c r="I149" s="9">
        <f>+I118+I108+I142</f>
        <v>0</v>
      </c>
      <c r="K149" s="344"/>
    </row>
    <row r="150" spans="2:11" ht="16.5" customHeight="1" x14ac:dyDescent="0.25">
      <c r="B150" s="362" t="s">
        <v>430</v>
      </c>
      <c r="C150" s="362"/>
      <c r="D150" s="362"/>
      <c r="E150" s="362"/>
      <c r="F150" s="362"/>
      <c r="G150" s="9">
        <f>+G149*14</f>
        <v>5020586200</v>
      </c>
      <c r="H150" s="9"/>
      <c r="I150" s="9">
        <f>+I149*17</f>
        <v>0</v>
      </c>
      <c r="K150" s="344"/>
    </row>
    <row r="151" spans="2:11" ht="16.5" x14ac:dyDescent="0.25">
      <c r="B151" s="362" t="s">
        <v>41</v>
      </c>
      <c r="C151" s="362"/>
      <c r="D151" s="362"/>
      <c r="E151" s="362"/>
      <c r="F151" s="362"/>
      <c r="G151" s="21">
        <v>2</v>
      </c>
      <c r="H151" s="21"/>
      <c r="I151" s="21">
        <v>2</v>
      </c>
      <c r="K151" s="344"/>
    </row>
    <row r="152" spans="2:11" ht="16.5" customHeight="1" x14ac:dyDescent="0.25">
      <c r="B152" s="362" t="s">
        <v>42</v>
      </c>
      <c r="C152" s="362"/>
      <c r="D152" s="362"/>
      <c r="E152" s="362"/>
      <c r="F152" s="362"/>
      <c r="G152" s="9">
        <f>+G150*G151</f>
        <v>10041172400</v>
      </c>
      <c r="H152" s="9"/>
      <c r="I152" s="9">
        <f>+I150*I151</f>
        <v>0</v>
      </c>
      <c r="K152" s="344"/>
    </row>
    <row r="153" spans="2:11" ht="16.5" customHeight="1" x14ac:dyDescent="0.25">
      <c r="B153" s="362" t="s">
        <v>81</v>
      </c>
      <c r="C153" s="362"/>
      <c r="D153" s="362"/>
      <c r="E153" s="362"/>
      <c r="F153" s="362"/>
      <c r="G153" s="9">
        <f>+G136+G121+G109+G144</f>
        <v>158417980</v>
      </c>
      <c r="H153" s="9"/>
      <c r="I153" s="9">
        <f>+I136+I121+I109+I144</f>
        <v>0</v>
      </c>
      <c r="K153" s="344"/>
    </row>
    <row r="154" spans="2:11" ht="16.5" customHeight="1" x14ac:dyDescent="0.25">
      <c r="B154" s="362" t="s">
        <v>430</v>
      </c>
      <c r="C154" s="362"/>
      <c r="D154" s="362"/>
      <c r="E154" s="362"/>
      <c r="F154" s="362"/>
      <c r="G154" s="9">
        <f>+G153*14</f>
        <v>2217851720</v>
      </c>
      <c r="H154" s="9"/>
      <c r="I154" s="9">
        <f>+I153*17</f>
        <v>0</v>
      </c>
      <c r="K154" s="344"/>
    </row>
    <row r="155" spans="2:11" ht="16.5" customHeight="1" x14ac:dyDescent="0.25">
      <c r="B155" s="362" t="s">
        <v>82</v>
      </c>
      <c r="C155" s="362"/>
      <c r="D155" s="362"/>
      <c r="E155" s="362"/>
      <c r="F155" s="362"/>
      <c r="G155" s="9">
        <f>+G148</f>
        <v>950370005</v>
      </c>
      <c r="H155" s="9"/>
      <c r="I155" s="9">
        <f>+I148</f>
        <v>0</v>
      </c>
      <c r="K155" s="344"/>
    </row>
    <row r="156" spans="2:11" ht="16.5" customHeight="1" x14ac:dyDescent="0.25">
      <c r="B156" s="362" t="s">
        <v>105</v>
      </c>
      <c r="C156" s="362"/>
      <c r="D156" s="362"/>
      <c r="E156" s="362"/>
      <c r="F156" s="362"/>
      <c r="G156" s="9">
        <f>G110</f>
        <v>470000000</v>
      </c>
      <c r="H156" s="9"/>
      <c r="I156" s="9">
        <f>I110</f>
        <v>0</v>
      </c>
      <c r="K156" s="344"/>
    </row>
    <row r="157" spans="2:11" ht="16.5" customHeight="1" x14ac:dyDescent="0.25">
      <c r="B157" s="362" t="s">
        <v>106</v>
      </c>
      <c r="C157" s="362"/>
      <c r="D157" s="362"/>
      <c r="E157" s="362"/>
      <c r="F157" s="362"/>
      <c r="G157" s="9">
        <v>1678347870.0000038</v>
      </c>
      <c r="H157" s="9"/>
      <c r="I157" s="9"/>
      <c r="J157" s="316" t="s">
        <v>385</v>
      </c>
      <c r="K157" s="344"/>
    </row>
    <row r="158" spans="2:11" ht="16.5" customHeight="1" x14ac:dyDescent="0.25">
      <c r="B158" s="362" t="s">
        <v>74</v>
      </c>
      <c r="C158" s="362"/>
      <c r="D158" s="362"/>
      <c r="E158" s="362"/>
      <c r="F158" s="362"/>
      <c r="G158" s="9">
        <v>4360000000</v>
      </c>
      <c r="H158" s="9"/>
      <c r="I158" s="9"/>
      <c r="J158" s="316" t="s">
        <v>385</v>
      </c>
      <c r="K158" s="344"/>
    </row>
    <row r="159" spans="2:11" ht="16.5" x14ac:dyDescent="0.25">
      <c r="B159" s="362" t="s">
        <v>43</v>
      </c>
      <c r="C159" s="362"/>
      <c r="D159" s="362"/>
      <c r="E159" s="362"/>
      <c r="F159" s="362"/>
      <c r="G159" s="9">
        <f>ROUND((G152+G154+G158+G156+G157+G155)*0.19,0)</f>
        <v>3746370979</v>
      </c>
      <c r="H159" s="9"/>
      <c r="I159" s="9">
        <f>ROUND((I152+I154+I158+I156+I157+I155)*0.19,0)</f>
        <v>0</v>
      </c>
      <c r="K159" s="344"/>
    </row>
    <row r="160" spans="2:11" ht="16.5" customHeight="1" x14ac:dyDescent="0.25">
      <c r="B160" s="362" t="s">
        <v>44</v>
      </c>
      <c r="C160" s="362"/>
      <c r="D160" s="362"/>
      <c r="E160" s="362"/>
      <c r="F160" s="362"/>
      <c r="G160" s="9">
        <f>+G152+G154+G158+G159+G155+G156+G157</f>
        <v>23464112974.000004</v>
      </c>
      <c r="H160" s="9"/>
      <c r="I160" s="9">
        <f>+I152+I154+I158+I159+I155+I156+I157</f>
        <v>0</v>
      </c>
      <c r="K160" s="344"/>
    </row>
    <row r="161" spans="2:17" ht="18" customHeight="1" x14ac:dyDescent="0.25">
      <c r="B161" s="375" t="s">
        <v>45</v>
      </c>
      <c r="C161" s="375"/>
      <c r="D161" s="375"/>
      <c r="E161" s="375"/>
      <c r="F161" s="375"/>
      <c r="G161" s="10">
        <f>+G160+G72</f>
        <v>80187472651</v>
      </c>
      <c r="H161" s="10"/>
      <c r="I161" s="10">
        <f>+I160+I72</f>
        <v>0</v>
      </c>
      <c r="J161" s="349"/>
      <c r="K161" s="344"/>
      <c r="L161" s="344"/>
      <c r="M161" s="344"/>
      <c r="N161" s="344"/>
      <c r="O161" s="344"/>
      <c r="P161" s="344"/>
      <c r="Q161" s="344"/>
    </row>
    <row r="162" spans="2:17" x14ac:dyDescent="0.25">
      <c r="B162" s="31"/>
      <c r="C162" s="25"/>
      <c r="D162" s="25"/>
      <c r="E162" s="32"/>
      <c r="F162" s="355"/>
      <c r="G162" s="354"/>
      <c r="H162" s="25"/>
      <c r="I162" s="25"/>
      <c r="J162" s="350"/>
      <c r="K162" s="345"/>
    </row>
    <row r="163" spans="2:17" x14ac:dyDescent="0.25">
      <c r="B163" s="31"/>
      <c r="C163" s="25"/>
      <c r="D163" s="25"/>
      <c r="E163" s="32"/>
      <c r="F163" s="355"/>
      <c r="G163" s="353"/>
      <c r="H163" s="25"/>
      <c r="I163" s="25"/>
      <c r="J163" s="345"/>
      <c r="K163" s="345"/>
    </row>
    <row r="164" spans="2:17" x14ac:dyDescent="0.25">
      <c r="B164" s="31"/>
      <c r="C164" s="25"/>
      <c r="D164" s="25"/>
      <c r="E164" s="32"/>
      <c r="F164" s="355"/>
      <c r="G164" s="352"/>
      <c r="H164" s="353"/>
      <c r="I164" s="353"/>
      <c r="J164" s="345"/>
      <c r="K164" s="345"/>
    </row>
    <row r="165" spans="2:17" x14ac:dyDescent="0.25">
      <c r="B165" s="31"/>
      <c r="C165" s="25"/>
      <c r="D165" s="25"/>
      <c r="E165" s="32"/>
      <c r="F165" s="355"/>
      <c r="G165" s="352"/>
      <c r="H165" s="353"/>
      <c r="I165" s="353"/>
    </row>
    <row r="166" spans="2:17" x14ac:dyDescent="0.25">
      <c r="B166" s="31"/>
      <c r="C166" s="25"/>
      <c r="D166" s="25"/>
      <c r="E166" s="32"/>
      <c r="F166" s="355"/>
      <c r="G166" s="356"/>
      <c r="H166" s="352">
        <v>74221114141</v>
      </c>
      <c r="I166" s="352">
        <f>+G166+H166</f>
        <v>74221114141</v>
      </c>
    </row>
    <row r="167" spans="2:17" x14ac:dyDescent="0.25">
      <c r="B167" s="31"/>
      <c r="C167" s="25"/>
      <c r="D167" s="25"/>
      <c r="E167" s="32"/>
      <c r="F167" s="357"/>
      <c r="G167" s="356"/>
      <c r="H167" s="353"/>
      <c r="I167" s="353"/>
    </row>
    <row r="168" spans="2:17" x14ac:dyDescent="0.25">
      <c r="B168" s="31"/>
      <c r="C168" s="25"/>
      <c r="D168" s="25"/>
      <c r="E168" s="32"/>
      <c r="F168" s="357"/>
      <c r="G168" s="345"/>
      <c r="H168" s="25"/>
      <c r="I168" s="25"/>
    </row>
    <row r="169" spans="2:17" x14ac:dyDescent="0.25">
      <c r="B169" s="31"/>
      <c r="C169" s="25"/>
      <c r="D169" s="25"/>
      <c r="E169" s="32"/>
      <c r="F169" s="357"/>
      <c r="G169" s="345"/>
      <c r="H169" s="25"/>
      <c r="I169" s="25"/>
    </row>
    <row r="170" spans="2:17" x14ac:dyDescent="0.25">
      <c r="B170" s="31"/>
      <c r="C170" s="25"/>
      <c r="D170" s="25"/>
      <c r="E170" s="32"/>
      <c r="F170" s="357"/>
      <c r="G170" s="345"/>
      <c r="H170" s="25"/>
      <c r="I170" s="25"/>
    </row>
    <row r="171" spans="2:17" x14ac:dyDescent="0.25">
      <c r="B171" s="31"/>
      <c r="C171" s="25"/>
      <c r="D171" s="25"/>
      <c r="E171" s="32"/>
      <c r="F171" s="357"/>
      <c r="G171" s="345"/>
      <c r="H171" s="25"/>
      <c r="I171" s="25"/>
    </row>
    <row r="172" spans="2:17" x14ac:dyDescent="0.25">
      <c r="B172" s="31"/>
      <c r="C172" s="25"/>
      <c r="D172" s="25"/>
      <c r="E172" s="32"/>
      <c r="F172" s="357"/>
      <c r="G172" s="345"/>
      <c r="H172" s="25"/>
      <c r="I172" s="25"/>
    </row>
    <row r="173" spans="2:17" x14ac:dyDescent="0.25">
      <c r="B173" s="31"/>
      <c r="C173" s="25"/>
      <c r="D173" s="25"/>
      <c r="E173" s="32"/>
      <c r="F173" s="357"/>
      <c r="G173" s="345"/>
      <c r="H173" s="25"/>
      <c r="I173" s="25"/>
    </row>
    <row r="174" spans="2:17" x14ac:dyDescent="0.25">
      <c r="B174" s="31"/>
      <c r="C174" s="25"/>
      <c r="D174" s="25"/>
      <c r="E174" s="32"/>
      <c r="F174" s="355"/>
      <c r="G174" s="345"/>
      <c r="H174" s="25"/>
      <c r="I174" s="25"/>
    </row>
    <row r="175" spans="2:17" x14ac:dyDescent="0.25">
      <c r="B175" s="31"/>
      <c r="C175" s="25"/>
      <c r="D175" s="25"/>
      <c r="E175" s="32"/>
      <c r="F175" s="355"/>
      <c r="G175" s="345"/>
      <c r="H175" s="25"/>
      <c r="I175" s="25"/>
    </row>
    <row r="176" spans="2:17" x14ac:dyDescent="0.25">
      <c r="B176" s="31"/>
      <c r="C176" s="25"/>
      <c r="D176" s="25"/>
      <c r="E176" s="32"/>
      <c r="F176" s="355"/>
      <c r="G176" s="345"/>
      <c r="H176" s="25"/>
      <c r="I176" s="25"/>
    </row>
    <row r="177" spans="1:190" x14ac:dyDescent="0.25">
      <c r="B177" s="31"/>
      <c r="C177" s="25"/>
      <c r="D177" s="25"/>
      <c r="E177" s="32"/>
      <c r="F177" s="33"/>
      <c r="G177" s="25"/>
      <c r="H177" s="25"/>
      <c r="I177" s="25"/>
    </row>
    <row r="178" spans="1:190" x14ac:dyDescent="0.25">
      <c r="B178" s="31"/>
      <c r="C178" s="25"/>
      <c r="D178" s="25"/>
      <c r="E178" s="32"/>
      <c r="F178" s="33"/>
      <c r="G178" s="25"/>
      <c r="H178" s="25"/>
      <c r="I178" s="25"/>
    </row>
    <row r="179" spans="1:190" x14ac:dyDescent="0.25">
      <c r="B179" s="31"/>
      <c r="C179" s="25"/>
      <c r="D179" s="25"/>
      <c r="E179" s="32"/>
      <c r="F179" s="33"/>
      <c r="G179" s="25"/>
      <c r="H179" s="25"/>
      <c r="I179" s="25"/>
    </row>
    <row r="180" spans="1:190" x14ac:dyDescent="0.25">
      <c r="B180" s="31"/>
      <c r="C180" s="25"/>
      <c r="D180" s="25"/>
      <c r="E180" s="32"/>
      <c r="F180" s="33"/>
      <c r="G180" s="25"/>
      <c r="H180" s="25"/>
      <c r="I180" s="25"/>
    </row>
    <row r="181" spans="1:190" x14ac:dyDescent="0.25">
      <c r="B181" s="31"/>
      <c r="C181" s="25"/>
      <c r="D181" s="25"/>
      <c r="E181" s="32"/>
      <c r="F181" s="33"/>
      <c r="G181" s="25"/>
      <c r="H181" s="25"/>
      <c r="I181" s="25"/>
    </row>
    <row r="182" spans="1:190" x14ac:dyDescent="0.25">
      <c r="B182" s="31"/>
      <c r="C182" s="25"/>
      <c r="D182" s="25"/>
      <c r="E182" s="32"/>
      <c r="F182" s="33"/>
      <c r="G182" s="25"/>
      <c r="H182" s="25"/>
      <c r="I182" s="25"/>
    </row>
    <row r="183" spans="1:190" ht="31.5" customHeight="1" x14ac:dyDescent="0.25">
      <c r="B183" s="31"/>
      <c r="C183" s="25"/>
      <c r="D183" s="25"/>
      <c r="E183" s="32"/>
      <c r="F183" s="33"/>
      <c r="G183" s="25"/>
      <c r="H183" s="25"/>
      <c r="I183" s="25"/>
    </row>
    <row r="184" spans="1:190" s="25" customFormat="1" x14ac:dyDescent="0.25">
      <c r="A184" s="42"/>
      <c r="B184" s="31"/>
      <c r="E184" s="32"/>
      <c r="F184" s="33"/>
      <c r="GG184" s="1"/>
      <c r="GH184" s="1"/>
    </row>
    <row r="185" spans="1:190" s="25" customFormat="1" x14ac:dyDescent="0.25">
      <c r="A185" s="42"/>
      <c r="B185" s="31"/>
      <c r="E185" s="32"/>
      <c r="F185" s="33"/>
      <c r="GG185" s="1"/>
      <c r="GH185" s="1"/>
    </row>
    <row r="186" spans="1:190" s="25" customFormat="1" x14ac:dyDescent="0.25">
      <c r="A186" s="42"/>
      <c r="B186" s="31"/>
      <c r="E186" s="32"/>
      <c r="F186" s="33"/>
      <c r="GG186" s="1"/>
      <c r="GH186" s="1"/>
    </row>
    <row r="187" spans="1:190" x14ac:dyDescent="0.25">
      <c r="B187" s="31"/>
      <c r="C187" s="25"/>
      <c r="D187" s="25"/>
      <c r="E187" s="32"/>
      <c r="F187" s="33"/>
      <c r="G187" s="25"/>
      <c r="H187" s="25"/>
      <c r="I187" s="25"/>
    </row>
    <row r="188" spans="1:190" x14ac:dyDescent="0.25">
      <c r="B188" s="31"/>
      <c r="C188" s="25"/>
      <c r="D188" s="25"/>
      <c r="E188" s="32"/>
      <c r="F188" s="33"/>
      <c r="G188" s="25"/>
      <c r="H188" s="25"/>
      <c r="I188" s="25"/>
    </row>
    <row r="189" spans="1:190" x14ac:dyDescent="0.25">
      <c r="B189" s="31"/>
      <c r="C189" s="25"/>
      <c r="D189" s="25"/>
      <c r="E189" s="32"/>
      <c r="F189" s="33"/>
      <c r="G189" s="25"/>
      <c r="H189" s="25"/>
      <c r="I189" s="25"/>
    </row>
    <row r="190" spans="1:190" x14ac:dyDescent="0.25">
      <c r="B190" s="31"/>
      <c r="C190" s="25"/>
      <c r="D190" s="25"/>
      <c r="E190" s="32"/>
      <c r="F190" s="33"/>
      <c r="G190" s="25"/>
      <c r="H190" s="25"/>
      <c r="I190" s="25"/>
    </row>
    <row r="191" spans="1:190" x14ac:dyDescent="0.25">
      <c r="B191" s="31"/>
      <c r="C191" s="25"/>
      <c r="D191" s="25"/>
      <c r="E191" s="32"/>
      <c r="F191" s="33"/>
      <c r="G191" s="25"/>
      <c r="H191" s="25"/>
      <c r="I191" s="25"/>
    </row>
    <row r="192" spans="1:190" x14ac:dyDescent="0.25">
      <c r="B192" s="31"/>
      <c r="C192" s="25"/>
      <c r="D192" s="25"/>
      <c r="E192" s="32"/>
      <c r="F192" s="33"/>
      <c r="G192" s="25"/>
      <c r="H192" s="25"/>
      <c r="I192" s="25"/>
    </row>
    <row r="193" spans="1:189" x14ac:dyDescent="0.25">
      <c r="B193" s="31"/>
      <c r="C193" s="25"/>
      <c r="D193" s="25"/>
      <c r="E193" s="32"/>
      <c r="F193" s="33"/>
      <c r="G193" s="25"/>
      <c r="H193" s="25"/>
      <c r="I193" s="25"/>
      <c r="GG193" s="25"/>
    </row>
    <row r="194" spans="1:189" x14ac:dyDescent="0.25">
      <c r="B194" s="31"/>
      <c r="C194" s="25"/>
      <c r="D194" s="25"/>
      <c r="E194" s="32"/>
      <c r="F194" s="33"/>
      <c r="G194" s="25"/>
      <c r="H194" s="25"/>
      <c r="I194" s="25"/>
    </row>
    <row r="195" spans="1:189" x14ac:dyDescent="0.25">
      <c r="B195" s="31"/>
      <c r="C195" s="25"/>
      <c r="D195" s="25"/>
      <c r="E195" s="32"/>
      <c r="F195" s="33"/>
      <c r="G195" s="25"/>
      <c r="H195" s="25"/>
      <c r="I195" s="25"/>
    </row>
    <row r="196" spans="1:189" x14ac:dyDescent="0.25">
      <c r="B196" s="31"/>
      <c r="C196" s="25"/>
      <c r="D196" s="25"/>
      <c r="E196" s="32"/>
      <c r="F196" s="33"/>
      <c r="G196" s="25"/>
      <c r="H196" s="25"/>
      <c r="I196" s="25"/>
    </row>
    <row r="197" spans="1:189" s="25" customFormat="1" x14ac:dyDescent="0.25">
      <c r="A197" s="42"/>
      <c r="B197" s="31"/>
      <c r="E197" s="32"/>
      <c r="F197" s="33"/>
    </row>
    <row r="198" spans="1:189" s="25" customFormat="1" x14ac:dyDescent="0.25">
      <c r="A198" s="42"/>
      <c r="B198" s="31"/>
      <c r="E198" s="32"/>
      <c r="F198" s="33"/>
    </row>
    <row r="199" spans="1:189" s="25" customFormat="1" x14ac:dyDescent="0.25">
      <c r="A199" s="42"/>
      <c r="B199" s="31"/>
      <c r="E199" s="32"/>
      <c r="F199" s="33"/>
    </row>
    <row r="200" spans="1:189" s="25" customFormat="1" x14ac:dyDescent="0.25">
      <c r="A200" s="42"/>
      <c r="B200" s="31"/>
      <c r="E200" s="32"/>
      <c r="F200" s="33"/>
    </row>
    <row r="201" spans="1:189" s="25" customFormat="1" x14ac:dyDescent="0.25">
      <c r="A201" s="42"/>
      <c r="B201" s="31"/>
      <c r="E201" s="32"/>
      <c r="F201" s="33"/>
    </row>
    <row r="202" spans="1:189" s="25" customFormat="1" x14ac:dyDescent="0.25">
      <c r="A202" s="42"/>
      <c r="B202" s="31"/>
      <c r="E202" s="32"/>
      <c r="F202" s="33"/>
    </row>
    <row r="203" spans="1:189" s="25" customFormat="1" x14ac:dyDescent="0.25">
      <c r="A203" s="42"/>
      <c r="B203" s="31"/>
      <c r="E203" s="32"/>
      <c r="F203" s="33"/>
    </row>
    <row r="204" spans="1:189" s="25" customFormat="1" x14ac:dyDescent="0.25">
      <c r="A204" s="42"/>
      <c r="B204" s="31"/>
      <c r="E204" s="32"/>
      <c r="F204" s="33"/>
    </row>
    <row r="205" spans="1:189" s="25" customFormat="1" x14ac:dyDescent="0.25">
      <c r="A205" s="42"/>
      <c r="B205" s="31"/>
      <c r="E205" s="32"/>
      <c r="F205" s="33"/>
    </row>
    <row r="206" spans="1:189" s="25" customFormat="1" x14ac:dyDescent="0.25">
      <c r="A206" s="42"/>
      <c r="B206" s="31"/>
      <c r="E206" s="32"/>
      <c r="F206" s="33"/>
    </row>
    <row r="207" spans="1:189" s="25" customFormat="1" x14ac:dyDescent="0.25">
      <c r="A207" s="42"/>
      <c r="B207" s="31"/>
      <c r="E207" s="32"/>
      <c r="F207" s="33"/>
    </row>
    <row r="208" spans="1:189" s="25" customFormat="1" x14ac:dyDescent="0.25">
      <c r="A208" s="42"/>
      <c r="B208" s="31"/>
      <c r="E208" s="32"/>
      <c r="F208" s="33"/>
    </row>
    <row r="209" spans="1:6" s="25" customFormat="1" x14ac:dyDescent="0.25">
      <c r="A209" s="42"/>
      <c r="B209" s="31"/>
      <c r="E209" s="32"/>
      <c r="F209" s="33"/>
    </row>
    <row r="210" spans="1:6" s="25" customFormat="1" x14ac:dyDescent="0.25">
      <c r="A210" s="42"/>
      <c r="B210" s="31"/>
      <c r="E210" s="32"/>
      <c r="F210" s="33"/>
    </row>
    <row r="211" spans="1:6" s="25" customFormat="1" x14ac:dyDescent="0.25">
      <c r="A211" s="42"/>
      <c r="B211" s="31"/>
      <c r="E211" s="32"/>
      <c r="F211" s="33"/>
    </row>
    <row r="212" spans="1:6" s="25" customFormat="1" x14ac:dyDescent="0.25">
      <c r="A212" s="42"/>
      <c r="B212" s="31"/>
      <c r="E212" s="32"/>
      <c r="F212" s="33"/>
    </row>
    <row r="213" spans="1:6" s="25" customFormat="1" x14ac:dyDescent="0.25">
      <c r="A213" s="42"/>
      <c r="B213" s="31"/>
      <c r="E213" s="32"/>
      <c r="F213" s="33"/>
    </row>
    <row r="214" spans="1:6" s="25" customFormat="1" x14ac:dyDescent="0.25">
      <c r="A214" s="42"/>
      <c r="B214" s="31"/>
      <c r="E214" s="32"/>
      <c r="F214" s="33"/>
    </row>
    <row r="215" spans="1:6" s="25" customFormat="1" x14ac:dyDescent="0.25">
      <c r="A215" s="42"/>
      <c r="B215" s="31"/>
      <c r="E215" s="32"/>
      <c r="F215" s="33"/>
    </row>
    <row r="216" spans="1:6" s="25" customFormat="1" x14ac:dyDescent="0.25">
      <c r="A216" s="42"/>
      <c r="B216" s="31"/>
      <c r="E216" s="32"/>
      <c r="F216" s="33"/>
    </row>
    <row r="217" spans="1:6" s="25" customFormat="1" x14ac:dyDescent="0.25">
      <c r="A217" s="42"/>
      <c r="B217" s="31"/>
      <c r="E217" s="32"/>
      <c r="F217" s="33"/>
    </row>
    <row r="218" spans="1:6" s="25" customFormat="1" x14ac:dyDescent="0.25">
      <c r="A218" s="42"/>
      <c r="B218" s="31"/>
      <c r="E218" s="32"/>
      <c r="F218" s="33"/>
    </row>
    <row r="219" spans="1:6" s="25" customFormat="1" x14ac:dyDescent="0.25">
      <c r="A219" s="42"/>
      <c r="B219" s="31"/>
      <c r="E219" s="32"/>
      <c r="F219" s="33"/>
    </row>
    <row r="220" spans="1:6" s="25" customFormat="1" x14ac:dyDescent="0.25">
      <c r="A220" s="42"/>
      <c r="B220" s="31"/>
      <c r="E220" s="32"/>
      <c r="F220" s="33"/>
    </row>
    <row r="221" spans="1:6" s="25" customFormat="1" x14ac:dyDescent="0.25">
      <c r="A221" s="42"/>
      <c r="B221" s="31"/>
      <c r="E221" s="32"/>
      <c r="F221" s="33"/>
    </row>
    <row r="222" spans="1:6" s="25" customFormat="1" x14ac:dyDescent="0.25">
      <c r="A222" s="42"/>
      <c r="B222" s="31"/>
      <c r="E222" s="32"/>
      <c r="F222" s="33"/>
    </row>
    <row r="223" spans="1:6" s="25" customFormat="1" x14ac:dyDescent="0.25">
      <c r="A223" s="42"/>
      <c r="B223" s="31"/>
      <c r="E223" s="32"/>
      <c r="F223" s="33"/>
    </row>
    <row r="224" spans="1:6" s="25" customFormat="1" x14ac:dyDescent="0.25">
      <c r="A224" s="42"/>
      <c r="B224" s="31"/>
      <c r="E224" s="32"/>
      <c r="F224" s="33"/>
    </row>
    <row r="225" spans="1:6" s="25" customFormat="1" x14ac:dyDescent="0.25">
      <c r="A225" s="42"/>
      <c r="B225" s="31"/>
      <c r="E225" s="32"/>
      <c r="F225" s="33"/>
    </row>
    <row r="226" spans="1:6" s="25" customFormat="1" x14ac:dyDescent="0.25">
      <c r="A226" s="42"/>
      <c r="B226" s="31"/>
      <c r="E226" s="32"/>
      <c r="F226" s="33"/>
    </row>
    <row r="227" spans="1:6" s="25" customFormat="1" x14ac:dyDescent="0.25">
      <c r="A227" s="42"/>
      <c r="B227" s="31"/>
      <c r="E227" s="32"/>
      <c r="F227" s="33"/>
    </row>
    <row r="228" spans="1:6" s="25" customFormat="1" x14ac:dyDescent="0.25">
      <c r="A228" s="42"/>
      <c r="B228" s="31"/>
      <c r="E228" s="32"/>
      <c r="F228" s="33"/>
    </row>
    <row r="229" spans="1:6" s="25" customFormat="1" x14ac:dyDescent="0.25">
      <c r="A229" s="42"/>
      <c r="B229" s="31"/>
      <c r="E229" s="32"/>
      <c r="F229" s="33"/>
    </row>
    <row r="230" spans="1:6" s="25" customFormat="1" x14ac:dyDescent="0.25">
      <c r="A230" s="42"/>
      <c r="B230" s="31"/>
      <c r="E230" s="32"/>
      <c r="F230" s="33"/>
    </row>
    <row r="231" spans="1:6" s="25" customFormat="1" x14ac:dyDescent="0.25">
      <c r="A231" s="42"/>
      <c r="B231" s="31"/>
      <c r="E231" s="32"/>
      <c r="F231" s="33"/>
    </row>
    <row r="232" spans="1:6" s="25" customFormat="1" x14ac:dyDescent="0.25">
      <c r="A232" s="42"/>
      <c r="B232" s="31"/>
      <c r="E232" s="32"/>
      <c r="F232" s="33"/>
    </row>
    <row r="233" spans="1:6" s="25" customFormat="1" x14ac:dyDescent="0.25">
      <c r="A233" s="42"/>
      <c r="B233" s="31"/>
      <c r="E233" s="32"/>
      <c r="F233" s="33"/>
    </row>
    <row r="234" spans="1:6" s="25" customFormat="1" x14ac:dyDescent="0.25">
      <c r="A234" s="42"/>
      <c r="B234" s="31"/>
      <c r="E234" s="32"/>
      <c r="F234" s="33"/>
    </row>
    <row r="235" spans="1:6" s="25" customFormat="1" x14ac:dyDescent="0.25">
      <c r="A235" s="42"/>
      <c r="B235" s="31"/>
      <c r="E235" s="32"/>
      <c r="F235" s="33"/>
    </row>
    <row r="236" spans="1:6" s="25" customFormat="1" x14ac:dyDescent="0.25">
      <c r="A236" s="42"/>
      <c r="B236" s="31"/>
      <c r="E236" s="32"/>
      <c r="F236" s="33"/>
    </row>
    <row r="237" spans="1:6" s="25" customFormat="1" x14ac:dyDescent="0.25">
      <c r="A237" s="42"/>
      <c r="B237" s="31"/>
      <c r="E237" s="32"/>
      <c r="F237" s="33"/>
    </row>
    <row r="238" spans="1:6" s="25" customFormat="1" x14ac:dyDescent="0.25">
      <c r="A238" s="42"/>
      <c r="B238" s="31"/>
      <c r="E238" s="32"/>
      <c r="F238" s="33"/>
    </row>
    <row r="239" spans="1:6" s="25" customFormat="1" x14ac:dyDescent="0.25">
      <c r="A239" s="42"/>
      <c r="B239" s="31"/>
      <c r="E239" s="32"/>
      <c r="F239" s="33"/>
    </row>
    <row r="240" spans="1:6" s="25" customFormat="1" x14ac:dyDescent="0.25">
      <c r="A240" s="42"/>
      <c r="B240" s="31"/>
      <c r="E240" s="32"/>
      <c r="F240" s="33"/>
    </row>
    <row r="241" spans="1:6" s="25" customFormat="1" x14ac:dyDescent="0.25">
      <c r="A241" s="42"/>
      <c r="B241" s="31"/>
      <c r="E241" s="32"/>
      <c r="F241" s="33"/>
    </row>
    <row r="242" spans="1:6" s="25" customFormat="1" x14ac:dyDescent="0.25">
      <c r="A242" s="42"/>
      <c r="B242" s="31"/>
      <c r="E242" s="32"/>
      <c r="F242" s="33"/>
    </row>
    <row r="243" spans="1:6" s="25" customFormat="1" x14ac:dyDescent="0.25">
      <c r="A243" s="42"/>
      <c r="B243" s="31"/>
      <c r="E243" s="32"/>
      <c r="F243" s="33"/>
    </row>
    <row r="244" spans="1:6" s="25" customFormat="1" x14ac:dyDescent="0.25">
      <c r="A244" s="42"/>
      <c r="B244" s="31"/>
      <c r="E244" s="32"/>
      <c r="F244" s="33"/>
    </row>
    <row r="245" spans="1:6" s="25" customFormat="1" x14ac:dyDescent="0.25">
      <c r="A245" s="42"/>
      <c r="B245" s="31"/>
      <c r="E245" s="32"/>
      <c r="F245" s="33"/>
    </row>
    <row r="246" spans="1:6" s="25" customFormat="1" x14ac:dyDescent="0.25">
      <c r="A246" s="42"/>
      <c r="B246" s="31"/>
      <c r="E246" s="32"/>
      <c r="F246" s="33"/>
    </row>
    <row r="247" spans="1:6" s="25" customFormat="1" x14ac:dyDescent="0.25">
      <c r="A247" s="42"/>
      <c r="B247" s="31"/>
      <c r="E247" s="32"/>
      <c r="F247" s="33"/>
    </row>
    <row r="248" spans="1:6" s="25" customFormat="1" x14ac:dyDescent="0.25">
      <c r="A248" s="42"/>
      <c r="B248" s="31"/>
      <c r="E248" s="32"/>
      <c r="F248" s="33"/>
    </row>
    <row r="249" spans="1:6" s="25" customFormat="1" x14ac:dyDescent="0.25">
      <c r="A249" s="42"/>
      <c r="B249" s="31"/>
      <c r="E249" s="32"/>
      <c r="F249" s="33"/>
    </row>
    <row r="250" spans="1:6" s="25" customFormat="1" x14ac:dyDescent="0.25">
      <c r="A250" s="42"/>
      <c r="B250" s="31"/>
      <c r="E250" s="32"/>
      <c r="F250" s="33"/>
    </row>
    <row r="251" spans="1:6" s="25" customFormat="1" x14ac:dyDescent="0.25">
      <c r="A251" s="42"/>
      <c r="B251" s="31"/>
      <c r="E251" s="32"/>
      <c r="F251" s="33"/>
    </row>
    <row r="252" spans="1:6" s="25" customFormat="1" x14ac:dyDescent="0.25">
      <c r="A252" s="42"/>
      <c r="B252" s="31"/>
      <c r="E252" s="32"/>
      <c r="F252" s="33"/>
    </row>
    <row r="253" spans="1:6" s="25" customFormat="1" x14ac:dyDescent="0.25">
      <c r="A253" s="42"/>
      <c r="B253" s="31"/>
      <c r="E253" s="32"/>
      <c r="F253" s="33"/>
    </row>
    <row r="254" spans="1:6" s="25" customFormat="1" x14ac:dyDescent="0.25">
      <c r="A254" s="42"/>
      <c r="B254" s="31"/>
      <c r="E254" s="32"/>
      <c r="F254" s="33"/>
    </row>
    <row r="255" spans="1:6" s="25" customFormat="1" x14ac:dyDescent="0.25">
      <c r="A255" s="42"/>
      <c r="B255" s="31"/>
      <c r="E255" s="32"/>
      <c r="F255" s="33"/>
    </row>
    <row r="256" spans="1:6" s="25" customFormat="1" x14ac:dyDescent="0.25">
      <c r="A256" s="42"/>
      <c r="B256" s="31"/>
      <c r="E256" s="32"/>
      <c r="F256" s="33"/>
    </row>
    <row r="257" spans="1:6" s="25" customFormat="1" x14ac:dyDescent="0.25">
      <c r="A257" s="42"/>
      <c r="B257" s="31"/>
      <c r="E257" s="32"/>
      <c r="F257" s="33"/>
    </row>
    <row r="258" spans="1:6" s="25" customFormat="1" x14ac:dyDescent="0.25">
      <c r="A258" s="42"/>
      <c r="B258" s="31"/>
      <c r="E258" s="32"/>
      <c r="F258" s="33"/>
    </row>
    <row r="259" spans="1:6" s="25" customFormat="1" x14ac:dyDescent="0.25">
      <c r="A259" s="42"/>
      <c r="B259" s="31"/>
      <c r="E259" s="32"/>
      <c r="F259" s="33"/>
    </row>
    <row r="260" spans="1:6" s="25" customFormat="1" x14ac:dyDescent="0.25">
      <c r="A260" s="42"/>
      <c r="B260" s="31"/>
      <c r="E260" s="32"/>
      <c r="F260" s="33"/>
    </row>
    <row r="261" spans="1:6" s="25" customFormat="1" x14ac:dyDescent="0.25">
      <c r="A261" s="42"/>
      <c r="B261" s="31"/>
      <c r="E261" s="32"/>
      <c r="F261" s="33"/>
    </row>
    <row r="262" spans="1:6" s="25" customFormat="1" x14ac:dyDescent="0.25">
      <c r="A262" s="42"/>
      <c r="B262" s="31"/>
      <c r="E262" s="32"/>
      <c r="F262" s="33"/>
    </row>
    <row r="263" spans="1:6" s="25" customFormat="1" x14ac:dyDescent="0.25">
      <c r="A263" s="42"/>
      <c r="B263" s="31"/>
      <c r="E263" s="32"/>
      <c r="F263" s="33"/>
    </row>
    <row r="264" spans="1:6" s="25" customFormat="1" x14ac:dyDescent="0.25">
      <c r="A264" s="42"/>
      <c r="B264" s="31"/>
      <c r="E264" s="32"/>
      <c r="F264" s="33"/>
    </row>
    <row r="265" spans="1:6" s="25" customFormat="1" x14ac:dyDescent="0.25">
      <c r="A265" s="42"/>
      <c r="B265" s="31"/>
      <c r="E265" s="32"/>
      <c r="F265" s="33"/>
    </row>
    <row r="266" spans="1:6" s="25" customFormat="1" x14ac:dyDescent="0.25">
      <c r="A266" s="42"/>
      <c r="B266" s="31"/>
      <c r="E266" s="32"/>
      <c r="F266" s="33"/>
    </row>
    <row r="267" spans="1:6" s="25" customFormat="1" x14ac:dyDescent="0.25">
      <c r="A267" s="42"/>
      <c r="B267" s="31"/>
      <c r="E267" s="32"/>
      <c r="F267" s="33"/>
    </row>
    <row r="268" spans="1:6" s="25" customFormat="1" x14ac:dyDescent="0.25">
      <c r="A268" s="42"/>
      <c r="B268" s="31"/>
      <c r="E268" s="32"/>
      <c r="F268" s="33"/>
    </row>
    <row r="269" spans="1:6" s="25" customFormat="1" x14ac:dyDescent="0.25">
      <c r="A269" s="42"/>
      <c r="B269" s="31"/>
      <c r="E269" s="32"/>
      <c r="F269" s="33"/>
    </row>
    <row r="270" spans="1:6" s="25" customFormat="1" x14ac:dyDescent="0.25">
      <c r="A270" s="42"/>
      <c r="B270" s="31"/>
      <c r="E270" s="32"/>
      <c r="F270" s="33"/>
    </row>
    <row r="271" spans="1:6" s="25" customFormat="1" x14ac:dyDescent="0.25">
      <c r="A271" s="42"/>
      <c r="B271" s="31"/>
      <c r="E271" s="32"/>
      <c r="F271" s="33"/>
    </row>
    <row r="272" spans="1:6" s="25" customFormat="1" x14ac:dyDescent="0.25">
      <c r="A272" s="42"/>
      <c r="B272" s="31"/>
      <c r="E272" s="32"/>
      <c r="F272" s="33"/>
    </row>
    <row r="273" spans="1:6" s="25" customFormat="1" x14ac:dyDescent="0.25">
      <c r="A273" s="42"/>
      <c r="B273" s="31"/>
      <c r="E273" s="32"/>
      <c r="F273" s="33"/>
    </row>
    <row r="274" spans="1:6" s="25" customFormat="1" x14ac:dyDescent="0.25">
      <c r="A274" s="42"/>
      <c r="B274" s="31"/>
      <c r="E274" s="32"/>
      <c r="F274" s="33"/>
    </row>
    <row r="275" spans="1:6" s="25" customFormat="1" x14ac:dyDescent="0.25">
      <c r="A275" s="42"/>
      <c r="B275" s="31"/>
      <c r="E275" s="32"/>
      <c r="F275" s="33"/>
    </row>
    <row r="276" spans="1:6" s="25" customFormat="1" x14ac:dyDescent="0.25">
      <c r="A276" s="42"/>
      <c r="B276" s="31"/>
      <c r="E276" s="32"/>
      <c r="F276" s="33"/>
    </row>
    <row r="277" spans="1:6" s="25" customFormat="1" x14ac:dyDescent="0.25">
      <c r="A277" s="42"/>
      <c r="B277" s="31"/>
      <c r="E277" s="32"/>
      <c r="F277" s="33"/>
    </row>
    <row r="278" spans="1:6" s="25" customFormat="1" x14ac:dyDescent="0.25">
      <c r="A278" s="42"/>
      <c r="B278" s="31"/>
      <c r="E278" s="32"/>
      <c r="F278" s="33"/>
    </row>
    <row r="279" spans="1:6" s="25" customFormat="1" x14ac:dyDescent="0.25">
      <c r="A279" s="42"/>
      <c r="B279" s="31"/>
      <c r="E279" s="32"/>
      <c r="F279" s="33"/>
    </row>
    <row r="280" spans="1:6" s="25" customFormat="1" x14ac:dyDescent="0.25">
      <c r="A280" s="42"/>
      <c r="B280" s="31"/>
      <c r="E280" s="32"/>
      <c r="F280" s="33"/>
    </row>
    <row r="281" spans="1:6" s="25" customFormat="1" x14ac:dyDescent="0.25">
      <c r="A281" s="42"/>
      <c r="B281" s="31"/>
      <c r="E281" s="32"/>
      <c r="F281" s="33"/>
    </row>
    <row r="282" spans="1:6" s="25" customFormat="1" x14ac:dyDescent="0.25">
      <c r="A282" s="42"/>
      <c r="B282" s="31"/>
      <c r="E282" s="32"/>
      <c r="F282" s="33"/>
    </row>
    <row r="283" spans="1:6" s="25" customFormat="1" x14ac:dyDescent="0.25">
      <c r="A283" s="42"/>
      <c r="B283" s="31"/>
      <c r="E283" s="32"/>
      <c r="F283" s="33"/>
    </row>
    <row r="284" spans="1:6" s="25" customFormat="1" x14ac:dyDescent="0.25">
      <c r="A284" s="42"/>
      <c r="B284" s="31"/>
      <c r="E284" s="32"/>
      <c r="F284" s="33"/>
    </row>
    <row r="285" spans="1:6" s="25" customFormat="1" x14ac:dyDescent="0.25">
      <c r="A285" s="42"/>
      <c r="B285" s="31"/>
      <c r="E285" s="32"/>
      <c r="F285" s="33"/>
    </row>
    <row r="286" spans="1:6" s="25" customFormat="1" x14ac:dyDescent="0.25">
      <c r="A286" s="42"/>
      <c r="B286" s="31"/>
      <c r="E286" s="32"/>
      <c r="F286" s="33"/>
    </row>
    <row r="287" spans="1:6" s="25" customFormat="1" x14ac:dyDescent="0.25">
      <c r="A287" s="42"/>
      <c r="B287" s="31"/>
      <c r="E287" s="32"/>
      <c r="F287" s="33"/>
    </row>
    <row r="288" spans="1:6" s="25" customFormat="1" x14ac:dyDescent="0.25">
      <c r="A288" s="42"/>
      <c r="B288" s="31"/>
      <c r="E288" s="32"/>
      <c r="F288" s="33"/>
    </row>
    <row r="289" spans="1:6" s="25" customFormat="1" x14ac:dyDescent="0.25">
      <c r="A289" s="42"/>
      <c r="B289" s="31"/>
      <c r="E289" s="32"/>
      <c r="F289" s="33"/>
    </row>
    <row r="290" spans="1:6" s="25" customFormat="1" x14ac:dyDescent="0.25">
      <c r="A290" s="42"/>
      <c r="B290" s="31"/>
      <c r="E290" s="32"/>
      <c r="F290" s="33"/>
    </row>
    <row r="291" spans="1:6" s="25" customFormat="1" x14ac:dyDescent="0.25">
      <c r="A291" s="42"/>
      <c r="B291" s="31"/>
      <c r="E291" s="32"/>
      <c r="F291" s="33"/>
    </row>
    <row r="292" spans="1:6" s="25" customFormat="1" x14ac:dyDescent="0.25">
      <c r="A292" s="42"/>
      <c r="B292" s="31"/>
      <c r="E292" s="32"/>
      <c r="F292" s="33"/>
    </row>
    <row r="293" spans="1:6" s="25" customFormat="1" x14ac:dyDescent="0.25">
      <c r="A293" s="42"/>
      <c r="B293" s="31"/>
      <c r="E293" s="32"/>
      <c r="F293" s="33"/>
    </row>
    <row r="294" spans="1:6" s="25" customFormat="1" x14ac:dyDescent="0.25">
      <c r="A294" s="42"/>
      <c r="B294" s="31"/>
      <c r="E294" s="32"/>
      <c r="F294" s="33"/>
    </row>
    <row r="295" spans="1:6" s="25" customFormat="1" x14ac:dyDescent="0.25">
      <c r="A295" s="42"/>
      <c r="B295" s="31"/>
      <c r="E295" s="32"/>
      <c r="F295" s="33"/>
    </row>
    <row r="296" spans="1:6" s="25" customFormat="1" x14ac:dyDescent="0.25">
      <c r="A296" s="42"/>
      <c r="B296" s="31"/>
      <c r="E296" s="32"/>
      <c r="F296" s="33"/>
    </row>
    <row r="297" spans="1:6" s="25" customFormat="1" x14ac:dyDescent="0.25">
      <c r="A297" s="42"/>
      <c r="B297" s="31"/>
      <c r="E297" s="32"/>
      <c r="F297" s="33"/>
    </row>
    <row r="298" spans="1:6" s="25" customFormat="1" x14ac:dyDescent="0.25">
      <c r="A298" s="42"/>
      <c r="B298" s="31"/>
      <c r="E298" s="32"/>
      <c r="F298" s="33"/>
    </row>
    <row r="299" spans="1:6" s="25" customFormat="1" x14ac:dyDescent="0.25">
      <c r="A299" s="42"/>
      <c r="B299" s="31"/>
      <c r="E299" s="32"/>
      <c r="F299" s="33"/>
    </row>
    <row r="300" spans="1:6" s="25" customFormat="1" x14ac:dyDescent="0.25">
      <c r="A300" s="42"/>
      <c r="B300" s="31"/>
      <c r="E300" s="32"/>
      <c r="F300" s="33"/>
    </row>
    <row r="301" spans="1:6" s="25" customFormat="1" x14ac:dyDescent="0.25">
      <c r="A301" s="42"/>
      <c r="B301" s="31"/>
      <c r="E301" s="32"/>
      <c r="F301" s="33"/>
    </row>
    <row r="302" spans="1:6" s="25" customFormat="1" x14ac:dyDescent="0.25">
      <c r="A302" s="42"/>
      <c r="B302" s="31"/>
      <c r="E302" s="32"/>
      <c r="F302" s="33"/>
    </row>
    <row r="303" spans="1:6" s="25" customFormat="1" x14ac:dyDescent="0.25">
      <c r="A303" s="42"/>
      <c r="B303" s="31"/>
      <c r="E303" s="32"/>
      <c r="F303" s="33"/>
    </row>
    <row r="304" spans="1:6" s="25" customFormat="1" x14ac:dyDescent="0.25">
      <c r="A304" s="42"/>
      <c r="B304" s="31"/>
      <c r="E304" s="32"/>
      <c r="F304" s="33"/>
    </row>
    <row r="305" spans="1:6" s="25" customFormat="1" x14ac:dyDescent="0.25">
      <c r="A305" s="42"/>
      <c r="B305" s="31"/>
      <c r="E305" s="32"/>
      <c r="F305" s="33"/>
    </row>
    <row r="306" spans="1:6" s="25" customFormat="1" x14ac:dyDescent="0.25">
      <c r="A306" s="42"/>
      <c r="B306" s="31"/>
      <c r="E306" s="32"/>
      <c r="F306" s="33"/>
    </row>
    <row r="307" spans="1:6" s="25" customFormat="1" x14ac:dyDescent="0.25">
      <c r="A307" s="42"/>
      <c r="B307" s="31"/>
      <c r="E307" s="32"/>
      <c r="F307" s="33"/>
    </row>
    <row r="308" spans="1:6" s="25" customFormat="1" x14ac:dyDescent="0.25">
      <c r="A308" s="42"/>
      <c r="B308" s="31"/>
      <c r="E308" s="32"/>
      <c r="F308" s="33"/>
    </row>
    <row r="309" spans="1:6" s="25" customFormat="1" x14ac:dyDescent="0.25">
      <c r="A309" s="42"/>
      <c r="B309" s="31"/>
      <c r="E309" s="32"/>
      <c r="F309" s="33"/>
    </row>
    <row r="310" spans="1:6" s="25" customFormat="1" x14ac:dyDescent="0.25">
      <c r="A310" s="42"/>
      <c r="B310" s="31"/>
      <c r="E310" s="32"/>
      <c r="F310" s="33"/>
    </row>
    <row r="311" spans="1:6" s="25" customFormat="1" x14ac:dyDescent="0.25">
      <c r="A311" s="42"/>
      <c r="B311" s="31"/>
      <c r="E311" s="32"/>
      <c r="F311" s="33"/>
    </row>
    <row r="312" spans="1:6" s="25" customFormat="1" x14ac:dyDescent="0.25">
      <c r="A312" s="42"/>
      <c r="B312" s="31"/>
      <c r="E312" s="32"/>
      <c r="F312" s="33"/>
    </row>
    <row r="313" spans="1:6" s="25" customFormat="1" x14ac:dyDescent="0.25">
      <c r="A313" s="42"/>
      <c r="B313" s="31"/>
      <c r="E313" s="32"/>
      <c r="F313" s="33"/>
    </row>
    <row r="314" spans="1:6" s="25" customFormat="1" x14ac:dyDescent="0.25">
      <c r="A314" s="42"/>
      <c r="B314" s="31"/>
      <c r="E314" s="32"/>
      <c r="F314" s="33"/>
    </row>
    <row r="315" spans="1:6" s="25" customFormat="1" x14ac:dyDescent="0.25">
      <c r="A315" s="42"/>
      <c r="B315" s="31"/>
      <c r="E315" s="32"/>
      <c r="F315" s="33"/>
    </row>
    <row r="316" spans="1:6" s="25" customFormat="1" x14ac:dyDescent="0.25">
      <c r="A316" s="42"/>
      <c r="B316" s="31"/>
      <c r="E316" s="32"/>
      <c r="F316" s="33"/>
    </row>
    <row r="317" spans="1:6" s="25" customFormat="1" x14ac:dyDescent="0.25">
      <c r="A317" s="42"/>
      <c r="B317" s="31"/>
      <c r="E317" s="32"/>
      <c r="F317" s="33"/>
    </row>
    <row r="318" spans="1:6" s="25" customFormat="1" x14ac:dyDescent="0.25">
      <c r="A318" s="42"/>
      <c r="B318" s="31"/>
      <c r="E318" s="32"/>
      <c r="F318" s="33"/>
    </row>
    <row r="319" spans="1:6" s="25" customFormat="1" x14ac:dyDescent="0.25">
      <c r="A319" s="42"/>
      <c r="B319" s="31"/>
      <c r="E319" s="32"/>
      <c r="F319" s="33"/>
    </row>
    <row r="320" spans="1:6" s="25" customFormat="1" x14ac:dyDescent="0.25">
      <c r="A320" s="42"/>
      <c r="B320" s="31"/>
      <c r="E320" s="32"/>
      <c r="F320" s="33"/>
    </row>
    <row r="321" spans="1:6" s="25" customFormat="1" x14ac:dyDescent="0.25">
      <c r="A321" s="42"/>
      <c r="B321" s="31"/>
      <c r="E321" s="32"/>
      <c r="F321" s="33"/>
    </row>
    <row r="322" spans="1:6" s="25" customFormat="1" x14ac:dyDescent="0.25">
      <c r="A322" s="42"/>
      <c r="B322" s="31"/>
      <c r="E322" s="32"/>
      <c r="F322" s="33"/>
    </row>
    <row r="323" spans="1:6" s="25" customFormat="1" x14ac:dyDescent="0.25">
      <c r="A323" s="42"/>
      <c r="B323" s="31"/>
      <c r="E323" s="32"/>
      <c r="F323" s="33"/>
    </row>
    <row r="324" spans="1:6" s="25" customFormat="1" x14ac:dyDescent="0.25">
      <c r="A324" s="42"/>
      <c r="B324" s="31"/>
      <c r="E324" s="32"/>
      <c r="F324" s="33"/>
    </row>
    <row r="325" spans="1:6" s="25" customFormat="1" x14ac:dyDescent="0.25">
      <c r="A325" s="42"/>
      <c r="B325" s="31"/>
      <c r="E325" s="32"/>
      <c r="F325" s="33"/>
    </row>
    <row r="326" spans="1:6" s="25" customFormat="1" x14ac:dyDescent="0.25">
      <c r="A326" s="42"/>
      <c r="B326" s="31"/>
      <c r="E326" s="32"/>
      <c r="F326" s="33"/>
    </row>
    <row r="327" spans="1:6" s="25" customFormat="1" x14ac:dyDescent="0.25">
      <c r="A327" s="42"/>
      <c r="B327" s="31"/>
      <c r="E327" s="32"/>
      <c r="F327" s="33"/>
    </row>
    <row r="328" spans="1:6" s="25" customFormat="1" x14ac:dyDescent="0.25">
      <c r="A328" s="42"/>
      <c r="B328" s="31"/>
      <c r="E328" s="32"/>
      <c r="F328" s="33"/>
    </row>
    <row r="329" spans="1:6" s="25" customFormat="1" x14ac:dyDescent="0.25">
      <c r="A329" s="42"/>
      <c r="B329" s="31"/>
      <c r="E329" s="32"/>
      <c r="F329" s="33"/>
    </row>
    <row r="330" spans="1:6" s="25" customFormat="1" x14ac:dyDescent="0.25">
      <c r="A330" s="42"/>
      <c r="B330" s="31"/>
      <c r="E330" s="32"/>
      <c r="F330" s="33"/>
    </row>
    <row r="331" spans="1:6" s="25" customFormat="1" x14ac:dyDescent="0.25">
      <c r="A331" s="42"/>
      <c r="B331" s="31"/>
      <c r="E331" s="32"/>
      <c r="F331" s="33"/>
    </row>
    <row r="332" spans="1:6" s="25" customFormat="1" x14ac:dyDescent="0.25">
      <c r="A332" s="42"/>
      <c r="B332" s="31"/>
      <c r="E332" s="32"/>
      <c r="F332" s="33"/>
    </row>
    <row r="333" spans="1:6" s="25" customFormat="1" x14ac:dyDescent="0.25">
      <c r="A333" s="42"/>
      <c r="B333" s="31"/>
      <c r="E333" s="32"/>
      <c r="F333" s="33"/>
    </row>
    <row r="334" spans="1:6" s="25" customFormat="1" x14ac:dyDescent="0.25">
      <c r="A334" s="42"/>
      <c r="B334" s="31"/>
      <c r="E334" s="32"/>
      <c r="F334" s="33"/>
    </row>
    <row r="335" spans="1:6" s="25" customFormat="1" x14ac:dyDescent="0.25">
      <c r="A335" s="42"/>
      <c r="B335" s="31"/>
      <c r="E335" s="32"/>
      <c r="F335" s="33"/>
    </row>
    <row r="336" spans="1:6" s="25" customFormat="1" x14ac:dyDescent="0.25">
      <c r="A336" s="42"/>
      <c r="B336" s="31"/>
      <c r="E336" s="32"/>
      <c r="F336" s="33"/>
    </row>
    <row r="337" spans="1:6" s="25" customFormat="1" x14ac:dyDescent="0.25">
      <c r="A337" s="42"/>
      <c r="B337" s="31"/>
      <c r="E337" s="32"/>
      <c r="F337" s="33"/>
    </row>
    <row r="338" spans="1:6" s="25" customFormat="1" x14ac:dyDescent="0.25">
      <c r="A338" s="42"/>
      <c r="B338" s="31"/>
      <c r="E338" s="32"/>
      <c r="F338" s="33"/>
    </row>
    <row r="339" spans="1:6" s="25" customFormat="1" x14ac:dyDescent="0.25">
      <c r="A339" s="42"/>
      <c r="B339" s="31"/>
      <c r="E339" s="32"/>
      <c r="F339" s="33"/>
    </row>
    <row r="340" spans="1:6" s="25" customFormat="1" x14ac:dyDescent="0.25">
      <c r="A340" s="42"/>
      <c r="B340" s="31"/>
      <c r="E340" s="32"/>
      <c r="F340" s="33"/>
    </row>
    <row r="341" spans="1:6" s="25" customFormat="1" x14ac:dyDescent="0.25">
      <c r="A341" s="42"/>
      <c r="B341" s="31"/>
      <c r="E341" s="32"/>
      <c r="F341" s="33"/>
    </row>
    <row r="342" spans="1:6" s="25" customFormat="1" x14ac:dyDescent="0.25">
      <c r="A342" s="42"/>
      <c r="B342" s="31"/>
      <c r="E342" s="32"/>
      <c r="F342" s="33"/>
    </row>
    <row r="343" spans="1:6" s="25" customFormat="1" x14ac:dyDescent="0.25">
      <c r="A343" s="42"/>
      <c r="B343" s="31"/>
      <c r="E343" s="32"/>
      <c r="F343" s="33"/>
    </row>
    <row r="344" spans="1:6" s="25" customFormat="1" x14ac:dyDescent="0.25">
      <c r="A344" s="42"/>
      <c r="B344" s="31"/>
      <c r="E344" s="32"/>
      <c r="F344" s="33"/>
    </row>
    <row r="345" spans="1:6" s="25" customFormat="1" x14ac:dyDescent="0.25">
      <c r="A345" s="42"/>
      <c r="B345" s="31"/>
      <c r="E345" s="32"/>
      <c r="F345" s="33"/>
    </row>
    <row r="346" spans="1:6" s="25" customFormat="1" x14ac:dyDescent="0.25">
      <c r="A346" s="42"/>
      <c r="B346" s="31"/>
      <c r="E346" s="32"/>
      <c r="F346" s="33"/>
    </row>
    <row r="347" spans="1:6" s="25" customFormat="1" x14ac:dyDescent="0.25">
      <c r="A347" s="42"/>
      <c r="B347" s="31"/>
      <c r="E347" s="32"/>
      <c r="F347" s="33"/>
    </row>
    <row r="348" spans="1:6" s="25" customFormat="1" x14ac:dyDescent="0.25">
      <c r="A348" s="42"/>
      <c r="B348" s="31"/>
      <c r="E348" s="32"/>
      <c r="F348" s="33"/>
    </row>
    <row r="349" spans="1:6" s="25" customFormat="1" x14ac:dyDescent="0.25">
      <c r="A349" s="42"/>
      <c r="B349" s="31"/>
      <c r="E349" s="32"/>
      <c r="F349" s="33"/>
    </row>
    <row r="350" spans="1:6" s="25" customFormat="1" x14ac:dyDescent="0.25">
      <c r="A350" s="42"/>
      <c r="B350" s="31"/>
      <c r="E350" s="32"/>
      <c r="F350" s="33"/>
    </row>
    <row r="351" spans="1:6" s="25" customFormat="1" x14ac:dyDescent="0.25">
      <c r="A351" s="42"/>
      <c r="B351" s="31"/>
      <c r="E351" s="32"/>
      <c r="F351" s="33"/>
    </row>
    <row r="352" spans="1:6" s="25" customFormat="1" x14ac:dyDescent="0.25">
      <c r="A352" s="42"/>
      <c r="B352" s="31"/>
      <c r="E352" s="32"/>
      <c r="F352" s="33"/>
    </row>
    <row r="353" spans="1:6" s="25" customFormat="1" x14ac:dyDescent="0.25">
      <c r="A353" s="42"/>
      <c r="B353" s="31"/>
      <c r="E353" s="32"/>
      <c r="F353" s="33"/>
    </row>
    <row r="354" spans="1:6" s="25" customFormat="1" x14ac:dyDescent="0.25">
      <c r="A354" s="42"/>
      <c r="B354" s="31"/>
      <c r="E354" s="32"/>
      <c r="F354" s="33"/>
    </row>
    <row r="355" spans="1:6" s="25" customFormat="1" x14ac:dyDescent="0.25">
      <c r="A355" s="42"/>
      <c r="B355" s="31"/>
      <c r="E355" s="32"/>
      <c r="F355" s="33"/>
    </row>
    <row r="356" spans="1:6" s="25" customFormat="1" x14ac:dyDescent="0.25">
      <c r="A356" s="42"/>
      <c r="B356" s="31"/>
      <c r="E356" s="32"/>
      <c r="F356" s="33"/>
    </row>
    <row r="357" spans="1:6" s="25" customFormat="1" x14ac:dyDescent="0.25">
      <c r="A357" s="42"/>
      <c r="B357" s="31"/>
      <c r="E357" s="32"/>
      <c r="F357" s="33"/>
    </row>
    <row r="358" spans="1:6" s="25" customFormat="1" x14ac:dyDescent="0.25">
      <c r="A358" s="42"/>
      <c r="B358" s="31"/>
      <c r="E358" s="32"/>
      <c r="F358" s="33"/>
    </row>
    <row r="359" spans="1:6" s="25" customFormat="1" x14ac:dyDescent="0.25">
      <c r="A359" s="42"/>
      <c r="B359" s="31"/>
      <c r="E359" s="32"/>
      <c r="F359" s="33"/>
    </row>
    <row r="360" spans="1:6" s="25" customFormat="1" x14ac:dyDescent="0.25">
      <c r="A360" s="42"/>
      <c r="B360" s="31"/>
      <c r="E360" s="32"/>
      <c r="F360" s="33"/>
    </row>
    <row r="361" spans="1:6" s="25" customFormat="1" x14ac:dyDescent="0.25">
      <c r="A361" s="42"/>
      <c r="B361" s="31"/>
      <c r="E361" s="32"/>
      <c r="F361" s="33"/>
    </row>
    <row r="362" spans="1:6" s="25" customFormat="1" x14ac:dyDescent="0.25">
      <c r="A362" s="42"/>
      <c r="B362" s="31"/>
      <c r="E362" s="32"/>
      <c r="F362" s="33"/>
    </row>
    <row r="363" spans="1:6" s="25" customFormat="1" x14ac:dyDescent="0.25">
      <c r="A363" s="42"/>
      <c r="B363" s="31"/>
      <c r="E363" s="32"/>
      <c r="F363" s="33"/>
    </row>
    <row r="364" spans="1:6" s="25" customFormat="1" x14ac:dyDescent="0.25">
      <c r="A364" s="42"/>
      <c r="B364" s="31"/>
      <c r="E364" s="32"/>
      <c r="F364" s="33"/>
    </row>
    <row r="365" spans="1:6" s="25" customFormat="1" x14ac:dyDescent="0.25">
      <c r="A365" s="42"/>
      <c r="B365" s="31"/>
      <c r="E365" s="32"/>
      <c r="F365" s="33"/>
    </row>
    <row r="366" spans="1:6" s="25" customFormat="1" x14ac:dyDescent="0.25">
      <c r="A366" s="42"/>
      <c r="B366" s="31"/>
      <c r="E366" s="32"/>
      <c r="F366" s="33"/>
    </row>
    <row r="367" spans="1:6" s="25" customFormat="1" x14ac:dyDescent="0.25">
      <c r="A367" s="42"/>
      <c r="B367" s="31"/>
      <c r="E367" s="32"/>
      <c r="F367" s="33"/>
    </row>
    <row r="368" spans="1:6" s="25" customFormat="1" x14ac:dyDescent="0.25">
      <c r="A368" s="42"/>
      <c r="B368" s="31"/>
      <c r="E368" s="32"/>
      <c r="F368" s="33"/>
    </row>
    <row r="369" spans="1:6" s="25" customFormat="1" x14ac:dyDescent="0.25">
      <c r="A369" s="42"/>
      <c r="B369" s="31"/>
      <c r="E369" s="32"/>
      <c r="F369" s="33"/>
    </row>
    <row r="370" spans="1:6" s="25" customFormat="1" x14ac:dyDescent="0.25">
      <c r="A370" s="42"/>
      <c r="B370" s="31"/>
      <c r="E370" s="32"/>
      <c r="F370" s="33"/>
    </row>
    <row r="371" spans="1:6" s="25" customFormat="1" x14ac:dyDescent="0.25">
      <c r="A371" s="42"/>
      <c r="B371" s="31"/>
      <c r="E371" s="32"/>
      <c r="F371" s="33"/>
    </row>
    <row r="372" spans="1:6" s="25" customFormat="1" x14ac:dyDescent="0.25">
      <c r="A372" s="42"/>
      <c r="B372" s="31"/>
      <c r="E372" s="32"/>
      <c r="F372" s="33"/>
    </row>
    <row r="373" spans="1:6" s="25" customFormat="1" x14ac:dyDescent="0.25">
      <c r="A373" s="42"/>
      <c r="B373" s="31"/>
      <c r="E373" s="32"/>
      <c r="F373" s="33"/>
    </row>
    <row r="374" spans="1:6" s="25" customFormat="1" x14ac:dyDescent="0.25">
      <c r="A374" s="42"/>
      <c r="B374" s="31"/>
      <c r="E374" s="32"/>
      <c r="F374" s="33"/>
    </row>
    <row r="375" spans="1:6" s="25" customFormat="1" x14ac:dyDescent="0.25">
      <c r="A375" s="42"/>
      <c r="B375" s="31"/>
      <c r="E375" s="32"/>
      <c r="F375" s="33"/>
    </row>
    <row r="376" spans="1:6" s="25" customFormat="1" x14ac:dyDescent="0.25">
      <c r="A376" s="42"/>
      <c r="B376" s="31"/>
      <c r="E376" s="32"/>
      <c r="F376" s="33"/>
    </row>
    <row r="377" spans="1:6" s="25" customFormat="1" x14ac:dyDescent="0.25">
      <c r="A377" s="42"/>
      <c r="B377" s="31"/>
      <c r="E377" s="32"/>
      <c r="F377" s="33"/>
    </row>
    <row r="378" spans="1:6" s="25" customFormat="1" x14ac:dyDescent="0.25">
      <c r="A378" s="42"/>
      <c r="B378" s="31"/>
      <c r="E378" s="32"/>
      <c r="F378" s="33"/>
    </row>
    <row r="379" spans="1:6" s="25" customFormat="1" x14ac:dyDescent="0.25">
      <c r="A379" s="42"/>
      <c r="B379" s="31"/>
      <c r="E379" s="32"/>
      <c r="F379" s="33"/>
    </row>
    <row r="380" spans="1:6" s="25" customFormat="1" x14ac:dyDescent="0.25">
      <c r="A380" s="42"/>
      <c r="B380" s="31"/>
      <c r="E380" s="32"/>
      <c r="F380" s="33"/>
    </row>
    <row r="381" spans="1:6" s="25" customFormat="1" x14ac:dyDescent="0.25">
      <c r="A381" s="42"/>
      <c r="B381" s="31"/>
      <c r="E381" s="32"/>
      <c r="F381" s="33"/>
    </row>
    <row r="382" spans="1:6" s="25" customFormat="1" x14ac:dyDescent="0.25">
      <c r="A382" s="42"/>
      <c r="B382" s="31"/>
      <c r="E382" s="32"/>
      <c r="F382" s="33"/>
    </row>
    <row r="383" spans="1:6" s="25" customFormat="1" x14ac:dyDescent="0.25">
      <c r="A383" s="42"/>
      <c r="B383" s="31"/>
      <c r="E383" s="32"/>
      <c r="F383" s="33"/>
    </row>
    <row r="384" spans="1:6" s="25" customFormat="1" x14ac:dyDescent="0.25">
      <c r="A384" s="42"/>
      <c r="B384" s="31"/>
      <c r="E384" s="32"/>
      <c r="F384" s="33"/>
    </row>
    <row r="385" spans="1:6" s="25" customFormat="1" x14ac:dyDescent="0.25">
      <c r="A385" s="42"/>
      <c r="B385" s="31"/>
      <c r="E385" s="32"/>
      <c r="F385" s="33"/>
    </row>
    <row r="386" spans="1:6" s="25" customFormat="1" x14ac:dyDescent="0.25">
      <c r="A386" s="42"/>
      <c r="B386" s="31"/>
      <c r="E386" s="32"/>
      <c r="F386" s="33"/>
    </row>
    <row r="387" spans="1:6" s="25" customFormat="1" x14ac:dyDescent="0.25">
      <c r="A387" s="42"/>
      <c r="B387" s="31"/>
      <c r="E387" s="32"/>
      <c r="F387" s="33"/>
    </row>
    <row r="388" spans="1:6" s="25" customFormat="1" x14ac:dyDescent="0.25">
      <c r="A388" s="42"/>
      <c r="B388" s="31"/>
      <c r="E388" s="32"/>
      <c r="F388" s="33"/>
    </row>
    <row r="389" spans="1:6" s="25" customFormat="1" x14ac:dyDescent="0.25">
      <c r="A389" s="42"/>
      <c r="B389" s="31"/>
      <c r="E389" s="32"/>
      <c r="F389" s="33"/>
    </row>
    <row r="390" spans="1:6" s="25" customFormat="1" x14ac:dyDescent="0.25">
      <c r="A390" s="42"/>
      <c r="B390" s="31"/>
      <c r="E390" s="32"/>
      <c r="F390" s="33"/>
    </row>
    <row r="391" spans="1:6" s="25" customFormat="1" x14ac:dyDescent="0.25">
      <c r="A391" s="42"/>
      <c r="B391" s="31"/>
      <c r="E391" s="32"/>
      <c r="F391" s="33"/>
    </row>
    <row r="392" spans="1:6" s="25" customFormat="1" x14ac:dyDescent="0.25">
      <c r="A392" s="42"/>
      <c r="B392" s="31"/>
      <c r="E392" s="32"/>
      <c r="F392" s="33"/>
    </row>
    <row r="393" spans="1:6" s="25" customFormat="1" x14ac:dyDescent="0.25">
      <c r="A393" s="42"/>
      <c r="B393" s="31"/>
      <c r="E393" s="32"/>
      <c r="F393" s="33"/>
    </row>
    <row r="394" spans="1:6" s="25" customFormat="1" x14ac:dyDescent="0.25">
      <c r="A394" s="42"/>
      <c r="B394" s="31"/>
      <c r="E394" s="32"/>
      <c r="F394" s="33"/>
    </row>
    <row r="395" spans="1:6" s="25" customFormat="1" x14ac:dyDescent="0.25">
      <c r="A395" s="42"/>
      <c r="B395" s="31"/>
      <c r="E395" s="32"/>
      <c r="F395" s="33"/>
    </row>
    <row r="396" spans="1:6" s="25" customFormat="1" x14ac:dyDescent="0.25">
      <c r="A396" s="42"/>
      <c r="B396" s="31"/>
      <c r="E396" s="32"/>
      <c r="F396" s="33"/>
    </row>
    <row r="397" spans="1:6" s="25" customFormat="1" x14ac:dyDescent="0.25">
      <c r="A397" s="42"/>
      <c r="B397" s="31"/>
      <c r="E397" s="32"/>
      <c r="F397" s="33"/>
    </row>
    <row r="398" spans="1:6" s="25" customFormat="1" x14ac:dyDescent="0.25">
      <c r="A398" s="42"/>
      <c r="B398" s="31"/>
      <c r="E398" s="32"/>
      <c r="F398" s="33"/>
    </row>
    <row r="399" spans="1:6" s="25" customFormat="1" x14ac:dyDescent="0.25">
      <c r="A399" s="42"/>
      <c r="B399" s="31"/>
      <c r="E399" s="32"/>
      <c r="F399" s="33"/>
    </row>
    <row r="400" spans="1:6" s="25" customFormat="1" x14ac:dyDescent="0.25">
      <c r="A400" s="42"/>
      <c r="B400" s="31"/>
      <c r="E400" s="32"/>
      <c r="F400" s="33"/>
    </row>
    <row r="401" spans="1:6" s="25" customFormat="1" x14ac:dyDescent="0.25">
      <c r="A401" s="42"/>
      <c r="B401" s="31"/>
      <c r="E401" s="32"/>
      <c r="F401" s="33"/>
    </row>
    <row r="402" spans="1:6" s="25" customFormat="1" x14ac:dyDescent="0.25">
      <c r="A402" s="42"/>
      <c r="B402" s="31"/>
      <c r="E402" s="32"/>
      <c r="F402" s="33"/>
    </row>
    <row r="403" spans="1:6" s="25" customFormat="1" x14ac:dyDescent="0.25">
      <c r="A403" s="42"/>
      <c r="B403" s="31"/>
      <c r="E403" s="32"/>
      <c r="F403" s="33"/>
    </row>
    <row r="404" spans="1:6" s="25" customFormat="1" x14ac:dyDescent="0.25">
      <c r="A404" s="42"/>
      <c r="B404" s="31"/>
      <c r="E404" s="32"/>
      <c r="F404" s="33"/>
    </row>
    <row r="405" spans="1:6" s="25" customFormat="1" x14ac:dyDescent="0.25">
      <c r="A405" s="42"/>
      <c r="B405" s="31"/>
      <c r="E405" s="32"/>
      <c r="F405" s="33"/>
    </row>
    <row r="406" spans="1:6" s="25" customFormat="1" x14ac:dyDescent="0.25">
      <c r="A406" s="42"/>
      <c r="B406" s="31"/>
      <c r="E406" s="32"/>
      <c r="F406" s="33"/>
    </row>
    <row r="407" spans="1:6" s="25" customFormat="1" x14ac:dyDescent="0.25">
      <c r="A407" s="42"/>
      <c r="B407" s="31"/>
      <c r="E407" s="32"/>
      <c r="F407" s="33"/>
    </row>
    <row r="408" spans="1:6" s="25" customFormat="1" x14ac:dyDescent="0.25">
      <c r="A408" s="42"/>
      <c r="B408" s="31"/>
      <c r="E408" s="32"/>
      <c r="F408" s="33"/>
    </row>
    <row r="409" spans="1:6" s="25" customFormat="1" x14ac:dyDescent="0.25">
      <c r="A409" s="42"/>
      <c r="B409" s="31"/>
      <c r="E409" s="32"/>
      <c r="F409" s="33"/>
    </row>
    <row r="410" spans="1:6" s="25" customFormat="1" x14ac:dyDescent="0.25">
      <c r="A410" s="42"/>
      <c r="B410" s="31"/>
      <c r="E410" s="32"/>
      <c r="F410" s="33"/>
    </row>
    <row r="411" spans="1:6" s="25" customFormat="1" x14ac:dyDescent="0.25">
      <c r="A411" s="42"/>
      <c r="B411" s="31"/>
      <c r="E411" s="32"/>
      <c r="F411" s="33"/>
    </row>
    <row r="412" spans="1:6" s="25" customFormat="1" x14ac:dyDescent="0.25">
      <c r="A412" s="42"/>
      <c r="B412" s="31"/>
      <c r="E412" s="32"/>
      <c r="F412" s="33"/>
    </row>
    <row r="413" spans="1:6" s="25" customFormat="1" x14ac:dyDescent="0.25">
      <c r="A413" s="42"/>
      <c r="B413" s="31"/>
      <c r="E413" s="32"/>
      <c r="F413" s="33"/>
    </row>
    <row r="414" spans="1:6" s="25" customFormat="1" x14ac:dyDescent="0.25">
      <c r="A414" s="42"/>
      <c r="B414" s="31"/>
      <c r="E414" s="32"/>
      <c r="F414" s="33"/>
    </row>
    <row r="415" spans="1:6" s="25" customFormat="1" x14ac:dyDescent="0.25">
      <c r="A415" s="42"/>
      <c r="B415" s="31"/>
      <c r="E415" s="32"/>
      <c r="F415" s="33"/>
    </row>
    <row r="416" spans="1:6" s="25" customFormat="1" x14ac:dyDescent="0.25">
      <c r="A416" s="42"/>
      <c r="B416" s="31"/>
      <c r="E416" s="32"/>
      <c r="F416" s="33"/>
    </row>
    <row r="417" spans="1:6" s="25" customFormat="1" x14ac:dyDescent="0.25">
      <c r="A417" s="42"/>
      <c r="B417" s="31"/>
      <c r="E417" s="32"/>
      <c r="F417" s="33"/>
    </row>
    <row r="418" spans="1:6" s="25" customFormat="1" x14ac:dyDescent="0.25">
      <c r="A418" s="42"/>
      <c r="B418" s="31"/>
      <c r="E418" s="32"/>
      <c r="F418" s="33"/>
    </row>
    <row r="419" spans="1:6" s="25" customFormat="1" x14ac:dyDescent="0.25">
      <c r="A419" s="42"/>
      <c r="B419" s="31"/>
      <c r="E419" s="32"/>
      <c r="F419" s="33"/>
    </row>
    <row r="420" spans="1:6" s="25" customFormat="1" x14ac:dyDescent="0.25">
      <c r="A420" s="42"/>
      <c r="B420" s="31"/>
      <c r="E420" s="32"/>
      <c r="F420" s="33"/>
    </row>
    <row r="421" spans="1:6" s="25" customFormat="1" x14ac:dyDescent="0.25">
      <c r="A421" s="42"/>
      <c r="B421" s="31"/>
      <c r="E421" s="32"/>
      <c r="F421" s="33"/>
    </row>
    <row r="422" spans="1:6" s="25" customFormat="1" x14ac:dyDescent="0.25">
      <c r="A422" s="42"/>
      <c r="B422" s="31"/>
      <c r="E422" s="32"/>
      <c r="F422" s="33"/>
    </row>
    <row r="423" spans="1:6" s="25" customFormat="1" x14ac:dyDescent="0.25">
      <c r="A423" s="42"/>
      <c r="B423" s="31"/>
      <c r="E423" s="32"/>
      <c r="F423" s="33"/>
    </row>
    <row r="424" spans="1:6" s="25" customFormat="1" x14ac:dyDescent="0.25">
      <c r="A424" s="42"/>
      <c r="B424" s="31"/>
      <c r="E424" s="32"/>
      <c r="F424" s="33"/>
    </row>
    <row r="425" spans="1:6" s="25" customFormat="1" x14ac:dyDescent="0.25">
      <c r="A425" s="42"/>
      <c r="B425" s="31"/>
      <c r="E425" s="32"/>
      <c r="F425" s="33"/>
    </row>
    <row r="426" spans="1:6" s="25" customFormat="1" x14ac:dyDescent="0.25">
      <c r="A426" s="42"/>
      <c r="B426" s="31"/>
      <c r="E426" s="32"/>
      <c r="F426" s="33"/>
    </row>
    <row r="427" spans="1:6" s="25" customFormat="1" x14ac:dyDescent="0.25">
      <c r="A427" s="42"/>
      <c r="B427" s="31"/>
      <c r="E427" s="32"/>
      <c r="F427" s="33"/>
    </row>
    <row r="428" spans="1:6" s="25" customFormat="1" x14ac:dyDescent="0.25">
      <c r="A428" s="42"/>
      <c r="B428" s="31"/>
      <c r="E428" s="32"/>
      <c r="F428" s="33"/>
    </row>
    <row r="429" spans="1:6" s="25" customFormat="1" x14ac:dyDescent="0.25">
      <c r="A429" s="42"/>
      <c r="B429" s="31"/>
      <c r="E429" s="32"/>
      <c r="F429" s="33"/>
    </row>
    <row r="430" spans="1:6" s="25" customFormat="1" x14ac:dyDescent="0.25">
      <c r="A430" s="42"/>
      <c r="B430" s="31"/>
      <c r="E430" s="32"/>
      <c r="F430" s="33"/>
    </row>
    <row r="431" spans="1:6" s="25" customFormat="1" x14ac:dyDescent="0.25">
      <c r="A431" s="42"/>
      <c r="B431" s="31"/>
      <c r="E431" s="32"/>
      <c r="F431" s="33"/>
    </row>
    <row r="432" spans="1:6" s="25" customFormat="1" x14ac:dyDescent="0.25">
      <c r="A432" s="42"/>
      <c r="B432" s="31"/>
      <c r="E432" s="32"/>
      <c r="F432" s="33"/>
    </row>
    <row r="433" spans="1:6" s="25" customFormat="1" x14ac:dyDescent="0.25">
      <c r="A433" s="42"/>
      <c r="B433" s="31"/>
      <c r="E433" s="32"/>
      <c r="F433" s="33"/>
    </row>
    <row r="434" spans="1:6" s="25" customFormat="1" x14ac:dyDescent="0.25">
      <c r="A434" s="42"/>
      <c r="B434" s="31"/>
      <c r="E434" s="32"/>
      <c r="F434" s="33"/>
    </row>
    <row r="435" spans="1:6" s="25" customFormat="1" x14ac:dyDescent="0.25">
      <c r="A435" s="42"/>
      <c r="B435" s="31"/>
      <c r="E435" s="32"/>
      <c r="F435" s="33"/>
    </row>
    <row r="436" spans="1:6" s="25" customFormat="1" x14ac:dyDescent="0.25">
      <c r="A436" s="42"/>
      <c r="B436" s="31"/>
      <c r="E436" s="32"/>
      <c r="F436" s="33"/>
    </row>
    <row r="437" spans="1:6" s="25" customFormat="1" x14ac:dyDescent="0.25">
      <c r="A437" s="42"/>
      <c r="B437" s="31"/>
      <c r="E437" s="32"/>
      <c r="F437" s="33"/>
    </row>
    <row r="438" spans="1:6" s="25" customFormat="1" x14ac:dyDescent="0.25">
      <c r="A438" s="42"/>
      <c r="B438" s="31"/>
      <c r="E438" s="32"/>
      <c r="F438" s="33"/>
    </row>
    <row r="439" spans="1:6" s="25" customFormat="1" x14ac:dyDescent="0.25">
      <c r="A439" s="42"/>
      <c r="B439" s="31"/>
      <c r="E439" s="32"/>
      <c r="F439" s="33"/>
    </row>
    <row r="440" spans="1:6" s="25" customFormat="1" x14ac:dyDescent="0.25">
      <c r="A440" s="42"/>
      <c r="B440" s="31"/>
      <c r="E440" s="32"/>
      <c r="F440" s="33"/>
    </row>
    <row r="441" spans="1:6" s="25" customFormat="1" x14ac:dyDescent="0.25">
      <c r="A441" s="42"/>
      <c r="B441" s="31"/>
      <c r="E441" s="32"/>
      <c r="F441" s="33"/>
    </row>
    <row r="442" spans="1:6" s="25" customFormat="1" x14ac:dyDescent="0.25">
      <c r="A442" s="42"/>
      <c r="B442" s="31"/>
      <c r="E442" s="32"/>
      <c r="F442" s="33"/>
    </row>
    <row r="443" spans="1:6" s="25" customFormat="1" x14ac:dyDescent="0.25">
      <c r="A443" s="42"/>
      <c r="B443" s="31"/>
      <c r="E443" s="32"/>
      <c r="F443" s="33"/>
    </row>
    <row r="444" spans="1:6" s="25" customFormat="1" x14ac:dyDescent="0.25">
      <c r="A444" s="42"/>
      <c r="B444" s="31"/>
      <c r="E444" s="32"/>
      <c r="F444" s="33"/>
    </row>
    <row r="445" spans="1:6" s="25" customFormat="1" x14ac:dyDescent="0.25">
      <c r="A445" s="42"/>
      <c r="B445" s="31"/>
      <c r="E445" s="32"/>
      <c r="F445" s="33"/>
    </row>
    <row r="446" spans="1:6" s="25" customFormat="1" x14ac:dyDescent="0.25">
      <c r="A446" s="42"/>
      <c r="B446" s="31"/>
      <c r="E446" s="32"/>
      <c r="F446" s="33"/>
    </row>
    <row r="447" spans="1:6" s="25" customFormat="1" x14ac:dyDescent="0.25">
      <c r="A447" s="42"/>
      <c r="B447" s="31"/>
      <c r="E447" s="32"/>
      <c r="F447" s="33"/>
    </row>
    <row r="448" spans="1:6" s="25" customFormat="1" x14ac:dyDescent="0.25">
      <c r="A448" s="42"/>
      <c r="B448" s="31"/>
      <c r="E448" s="32"/>
      <c r="F448" s="33"/>
    </row>
    <row r="449" spans="1:6" s="25" customFormat="1" x14ac:dyDescent="0.25">
      <c r="A449" s="42"/>
      <c r="B449" s="31"/>
      <c r="E449" s="32"/>
      <c r="F449" s="33"/>
    </row>
    <row r="450" spans="1:6" s="25" customFormat="1" x14ac:dyDescent="0.25">
      <c r="A450" s="42"/>
      <c r="B450" s="31"/>
      <c r="E450" s="32"/>
      <c r="F450" s="33"/>
    </row>
    <row r="451" spans="1:6" s="25" customFormat="1" x14ac:dyDescent="0.25">
      <c r="A451" s="42"/>
      <c r="B451" s="31"/>
      <c r="E451" s="32"/>
      <c r="F451" s="33"/>
    </row>
    <row r="452" spans="1:6" s="25" customFormat="1" x14ac:dyDescent="0.25">
      <c r="A452" s="42"/>
      <c r="B452" s="31"/>
      <c r="E452" s="32"/>
      <c r="F452" s="33"/>
    </row>
    <row r="453" spans="1:6" s="25" customFormat="1" x14ac:dyDescent="0.25">
      <c r="A453" s="42"/>
      <c r="B453" s="31"/>
      <c r="E453" s="32"/>
      <c r="F453" s="33"/>
    </row>
    <row r="454" spans="1:6" s="25" customFormat="1" x14ac:dyDescent="0.25">
      <c r="A454" s="42"/>
      <c r="B454" s="31"/>
      <c r="E454" s="32"/>
      <c r="F454" s="33"/>
    </row>
    <row r="455" spans="1:6" s="25" customFormat="1" x14ac:dyDescent="0.25">
      <c r="A455" s="42"/>
      <c r="B455" s="31"/>
      <c r="E455" s="32"/>
      <c r="F455" s="33"/>
    </row>
    <row r="456" spans="1:6" s="25" customFormat="1" x14ac:dyDescent="0.25">
      <c r="A456" s="42"/>
      <c r="B456" s="31"/>
      <c r="E456" s="32"/>
      <c r="F456" s="33"/>
    </row>
    <row r="457" spans="1:6" s="25" customFormat="1" x14ac:dyDescent="0.25">
      <c r="A457" s="42"/>
      <c r="B457" s="31"/>
      <c r="E457" s="32"/>
      <c r="F457" s="33"/>
    </row>
    <row r="458" spans="1:6" s="25" customFormat="1" x14ac:dyDescent="0.25">
      <c r="A458" s="42"/>
      <c r="B458" s="31"/>
      <c r="E458" s="32"/>
      <c r="F458" s="33"/>
    </row>
    <row r="459" spans="1:6" s="25" customFormat="1" x14ac:dyDescent="0.25">
      <c r="A459" s="42"/>
      <c r="B459" s="31"/>
      <c r="E459" s="32"/>
      <c r="F459" s="33"/>
    </row>
    <row r="460" spans="1:6" s="25" customFormat="1" x14ac:dyDescent="0.25">
      <c r="A460" s="42"/>
      <c r="B460" s="31"/>
      <c r="E460" s="32"/>
      <c r="F460" s="33"/>
    </row>
    <row r="461" spans="1:6" s="25" customFormat="1" x14ac:dyDescent="0.25">
      <c r="A461" s="42"/>
      <c r="B461" s="31"/>
      <c r="E461" s="32"/>
      <c r="F461" s="33"/>
    </row>
    <row r="462" spans="1:6" s="25" customFormat="1" x14ac:dyDescent="0.25">
      <c r="A462" s="42"/>
      <c r="B462" s="31"/>
      <c r="E462" s="32"/>
      <c r="F462" s="33"/>
    </row>
    <row r="463" spans="1:6" s="25" customFormat="1" x14ac:dyDescent="0.25">
      <c r="A463" s="42"/>
      <c r="B463" s="31"/>
      <c r="E463" s="32"/>
      <c r="F463" s="33"/>
    </row>
    <row r="464" spans="1:6" s="25" customFormat="1" x14ac:dyDescent="0.25">
      <c r="A464" s="42"/>
      <c r="B464" s="31"/>
      <c r="E464" s="32"/>
      <c r="F464" s="33"/>
    </row>
    <row r="465" spans="1:6" s="25" customFormat="1" x14ac:dyDescent="0.25">
      <c r="A465" s="42"/>
      <c r="B465" s="31"/>
      <c r="E465" s="32"/>
      <c r="F465" s="33"/>
    </row>
    <row r="466" spans="1:6" s="25" customFormat="1" x14ac:dyDescent="0.25">
      <c r="A466" s="42"/>
      <c r="B466" s="31"/>
      <c r="E466" s="32"/>
      <c r="F466" s="33"/>
    </row>
    <row r="467" spans="1:6" s="25" customFormat="1" x14ac:dyDescent="0.25">
      <c r="A467" s="42"/>
      <c r="B467" s="31"/>
      <c r="E467" s="32"/>
      <c r="F467" s="33"/>
    </row>
    <row r="468" spans="1:6" s="25" customFormat="1" x14ac:dyDescent="0.25">
      <c r="A468" s="42"/>
      <c r="B468" s="31"/>
      <c r="E468" s="32"/>
      <c r="F468" s="33"/>
    </row>
    <row r="469" spans="1:6" s="25" customFormat="1" x14ac:dyDescent="0.25">
      <c r="A469" s="42"/>
      <c r="B469" s="31"/>
      <c r="E469" s="32"/>
      <c r="F469" s="33"/>
    </row>
    <row r="470" spans="1:6" s="25" customFormat="1" x14ac:dyDescent="0.25">
      <c r="A470" s="42"/>
      <c r="B470" s="31"/>
      <c r="E470" s="32"/>
      <c r="F470" s="33"/>
    </row>
    <row r="471" spans="1:6" s="25" customFormat="1" x14ac:dyDescent="0.25">
      <c r="A471" s="42"/>
      <c r="B471" s="31"/>
      <c r="E471" s="32"/>
      <c r="F471" s="33"/>
    </row>
    <row r="472" spans="1:6" s="25" customFormat="1" x14ac:dyDescent="0.25">
      <c r="A472" s="42"/>
      <c r="B472" s="31"/>
      <c r="E472" s="32"/>
      <c r="F472" s="33"/>
    </row>
    <row r="473" spans="1:6" s="25" customFormat="1" x14ac:dyDescent="0.25">
      <c r="A473" s="42"/>
      <c r="B473" s="31"/>
      <c r="E473" s="32"/>
      <c r="F473" s="33"/>
    </row>
    <row r="474" spans="1:6" s="25" customFormat="1" x14ac:dyDescent="0.25">
      <c r="A474" s="42"/>
      <c r="B474" s="31"/>
      <c r="E474" s="32"/>
      <c r="F474" s="33"/>
    </row>
    <row r="475" spans="1:6" s="25" customFormat="1" x14ac:dyDescent="0.25">
      <c r="A475" s="42"/>
      <c r="B475" s="31"/>
      <c r="E475" s="32"/>
      <c r="F475" s="33"/>
    </row>
    <row r="476" spans="1:6" s="25" customFormat="1" x14ac:dyDescent="0.25">
      <c r="A476" s="42"/>
      <c r="B476" s="31"/>
      <c r="E476" s="32"/>
      <c r="F476" s="33"/>
    </row>
    <row r="477" spans="1:6" s="25" customFormat="1" x14ac:dyDescent="0.25">
      <c r="A477" s="42"/>
      <c r="B477" s="31"/>
      <c r="E477" s="32"/>
      <c r="F477" s="33"/>
    </row>
    <row r="478" spans="1:6" s="25" customFormat="1" x14ac:dyDescent="0.25">
      <c r="A478" s="42"/>
      <c r="B478" s="31"/>
      <c r="E478" s="32"/>
      <c r="F478" s="33"/>
    </row>
    <row r="479" spans="1:6" s="25" customFormat="1" x14ac:dyDescent="0.25">
      <c r="A479" s="42"/>
      <c r="B479" s="31"/>
      <c r="E479" s="32"/>
      <c r="F479" s="33"/>
    </row>
    <row r="480" spans="1:6" s="25" customFormat="1" x14ac:dyDescent="0.25">
      <c r="A480" s="42"/>
      <c r="B480" s="31"/>
      <c r="E480" s="32"/>
      <c r="F480" s="33"/>
    </row>
    <row r="481" spans="1:9" s="25" customFormat="1" x14ac:dyDescent="0.25">
      <c r="A481" s="42"/>
      <c r="B481" s="31"/>
      <c r="E481" s="32"/>
      <c r="F481" s="33"/>
    </row>
    <row r="482" spans="1:9" s="25" customFormat="1" x14ac:dyDescent="0.25">
      <c r="A482" s="42"/>
      <c r="B482" s="22"/>
      <c r="C482" s="1"/>
      <c r="D482" s="1"/>
      <c r="E482" s="23"/>
      <c r="F482" s="24"/>
      <c r="G482" s="1"/>
      <c r="H482" s="1"/>
      <c r="I482" s="1"/>
    </row>
    <row r="483" spans="1:9" s="25" customFormat="1" x14ac:dyDescent="0.25">
      <c r="A483" s="42"/>
      <c r="B483" s="22"/>
      <c r="C483" s="1"/>
      <c r="D483" s="1"/>
      <c r="E483" s="23"/>
      <c r="F483" s="24"/>
      <c r="G483" s="1"/>
      <c r="H483" s="1"/>
      <c r="I483" s="1"/>
    </row>
    <row r="484" spans="1:9" s="25" customFormat="1" x14ac:dyDescent="0.25">
      <c r="A484" s="42"/>
      <c r="B484" s="22"/>
      <c r="C484" s="1"/>
      <c r="D484" s="1"/>
      <c r="E484" s="23"/>
      <c r="F484" s="24"/>
      <c r="G484" s="1"/>
      <c r="H484" s="1"/>
      <c r="I484" s="1"/>
    </row>
    <row r="485" spans="1:9" s="25" customFormat="1" x14ac:dyDescent="0.25">
      <c r="A485" s="42"/>
      <c r="B485" s="22"/>
      <c r="C485" s="1"/>
      <c r="D485" s="1"/>
      <c r="E485" s="23"/>
      <c r="F485" s="24"/>
      <c r="G485" s="1"/>
      <c r="H485" s="1"/>
      <c r="I485" s="1"/>
    </row>
    <row r="486" spans="1:9" s="25" customFormat="1" x14ac:dyDescent="0.25">
      <c r="A486" s="42"/>
      <c r="B486" s="22"/>
      <c r="C486" s="1"/>
      <c r="D486" s="1"/>
      <c r="E486" s="23"/>
      <c r="F486" s="24"/>
      <c r="G486" s="1"/>
      <c r="H486" s="1"/>
      <c r="I486" s="1"/>
    </row>
    <row r="487" spans="1:9" s="25" customFormat="1" x14ac:dyDescent="0.25">
      <c r="A487" s="42"/>
      <c r="B487" s="22"/>
      <c r="C487" s="1"/>
      <c r="D487" s="1"/>
      <c r="E487" s="23"/>
      <c r="F487" s="24"/>
      <c r="G487" s="1"/>
      <c r="H487" s="1"/>
      <c r="I487" s="1"/>
    </row>
    <row r="488" spans="1:9" s="25" customFormat="1" x14ac:dyDescent="0.25">
      <c r="A488" s="42"/>
      <c r="B488" s="22"/>
      <c r="C488" s="1"/>
      <c r="D488" s="1"/>
      <c r="E488" s="23"/>
      <c r="F488" s="24"/>
      <c r="G488" s="1"/>
      <c r="H488" s="1"/>
      <c r="I488" s="1"/>
    </row>
    <row r="489" spans="1:9" s="25" customFormat="1" x14ac:dyDescent="0.25">
      <c r="A489" s="42"/>
      <c r="B489" s="22"/>
      <c r="C489" s="1"/>
      <c r="D489" s="1"/>
      <c r="E489" s="23"/>
      <c r="F489" s="24"/>
      <c r="G489" s="1"/>
      <c r="H489" s="1"/>
      <c r="I489" s="1"/>
    </row>
    <row r="490" spans="1:9" s="25" customFormat="1" x14ac:dyDescent="0.25">
      <c r="A490" s="42"/>
      <c r="B490" s="22"/>
      <c r="C490" s="1"/>
      <c r="D490" s="1"/>
      <c r="E490" s="23"/>
      <c r="F490" s="24"/>
      <c r="G490" s="1"/>
      <c r="H490" s="1"/>
      <c r="I490" s="1"/>
    </row>
    <row r="491" spans="1:9" s="25" customFormat="1" x14ac:dyDescent="0.25">
      <c r="A491" s="42"/>
      <c r="B491" s="22"/>
      <c r="C491" s="1"/>
      <c r="D491" s="1"/>
      <c r="E491" s="23"/>
      <c r="F491" s="24"/>
      <c r="G491" s="1"/>
      <c r="H491" s="1"/>
      <c r="I491" s="1"/>
    </row>
    <row r="492" spans="1:9" s="25" customFormat="1" x14ac:dyDescent="0.25">
      <c r="A492" s="42"/>
      <c r="B492" s="22"/>
      <c r="C492" s="1"/>
      <c r="D492" s="1"/>
      <c r="E492" s="23"/>
      <c r="F492" s="24"/>
      <c r="G492" s="1"/>
      <c r="H492" s="1"/>
      <c r="I492" s="1"/>
    </row>
    <row r="493" spans="1:9" s="25" customFormat="1" x14ac:dyDescent="0.25">
      <c r="A493" s="42"/>
      <c r="B493" s="22"/>
      <c r="C493" s="1"/>
      <c r="D493" s="1"/>
      <c r="E493" s="23"/>
      <c r="F493" s="24"/>
      <c r="G493" s="1"/>
      <c r="H493" s="1"/>
      <c r="I493" s="1"/>
    </row>
    <row r="494" spans="1:9" s="25" customFormat="1" x14ac:dyDescent="0.25">
      <c r="A494" s="42"/>
      <c r="B494" s="22"/>
      <c r="C494" s="1"/>
      <c r="D494" s="1"/>
      <c r="E494" s="23"/>
      <c r="F494" s="24"/>
      <c r="G494" s="1"/>
      <c r="H494" s="1"/>
      <c r="I494" s="1"/>
    </row>
    <row r="495" spans="1:9" s="25" customFormat="1" x14ac:dyDescent="0.25">
      <c r="A495" s="42"/>
      <c r="B495" s="22"/>
      <c r="C495" s="1"/>
      <c r="D495" s="1"/>
      <c r="E495" s="23"/>
      <c r="F495" s="24"/>
      <c r="G495" s="1"/>
      <c r="H495" s="1"/>
      <c r="I495" s="1"/>
    </row>
    <row r="496" spans="1:9" s="25" customFormat="1" x14ac:dyDescent="0.25">
      <c r="A496" s="42"/>
      <c r="B496" s="22"/>
      <c r="C496" s="1"/>
      <c r="D496" s="1"/>
      <c r="E496" s="23"/>
      <c r="F496" s="24"/>
      <c r="G496" s="1"/>
      <c r="H496" s="1"/>
      <c r="I496" s="1"/>
    </row>
    <row r="497" spans="1:9" s="25" customFormat="1" x14ac:dyDescent="0.25">
      <c r="A497" s="42"/>
      <c r="B497" s="22"/>
      <c r="C497" s="1"/>
      <c r="D497" s="1"/>
      <c r="E497" s="23"/>
      <c r="F497" s="24"/>
      <c r="G497" s="1"/>
      <c r="H497" s="1"/>
      <c r="I497" s="1"/>
    </row>
    <row r="498" spans="1:9" s="25" customFormat="1" x14ac:dyDescent="0.25">
      <c r="A498" s="42"/>
      <c r="B498" s="22"/>
      <c r="C498" s="1"/>
      <c r="D498" s="1"/>
      <c r="E498" s="23"/>
      <c r="F498" s="24"/>
      <c r="G498" s="1"/>
      <c r="H498" s="1"/>
      <c r="I498" s="1"/>
    </row>
    <row r="499" spans="1:9" s="25" customFormat="1" x14ac:dyDescent="0.25">
      <c r="A499" s="42"/>
      <c r="B499" s="22"/>
      <c r="C499" s="1"/>
      <c r="D499" s="1"/>
      <c r="E499" s="23"/>
      <c r="F499" s="24"/>
      <c r="G499" s="1"/>
      <c r="H499" s="1"/>
      <c r="I499" s="1"/>
    </row>
    <row r="500" spans="1:9" s="25" customFormat="1" x14ac:dyDescent="0.25">
      <c r="A500" s="42"/>
      <c r="B500" s="22"/>
      <c r="C500" s="1"/>
      <c r="D500" s="1"/>
      <c r="E500" s="23"/>
      <c r="F500" s="24"/>
      <c r="G500" s="1"/>
      <c r="H500" s="1"/>
      <c r="I500" s="1"/>
    </row>
    <row r="501" spans="1:9" s="25" customFormat="1" x14ac:dyDescent="0.25">
      <c r="A501" s="42"/>
      <c r="B501" s="22"/>
      <c r="C501" s="1"/>
      <c r="D501" s="1"/>
      <c r="E501" s="23"/>
      <c r="F501" s="24"/>
      <c r="G501" s="1"/>
      <c r="H501" s="1"/>
      <c r="I501" s="1"/>
    </row>
    <row r="502" spans="1:9" s="25" customFormat="1" x14ac:dyDescent="0.25">
      <c r="A502" s="42"/>
      <c r="B502" s="22"/>
      <c r="C502" s="1"/>
      <c r="D502" s="1"/>
      <c r="E502" s="23"/>
      <c r="F502" s="24"/>
      <c r="G502" s="1"/>
      <c r="H502" s="1"/>
      <c r="I502" s="1"/>
    </row>
    <row r="503" spans="1:9" s="25" customFormat="1" x14ac:dyDescent="0.25">
      <c r="A503" s="42"/>
      <c r="B503" s="22"/>
      <c r="C503" s="1"/>
      <c r="D503" s="1"/>
      <c r="E503" s="23"/>
      <c r="F503" s="24"/>
      <c r="G503" s="1"/>
      <c r="H503" s="1"/>
      <c r="I503" s="1"/>
    </row>
    <row r="504" spans="1:9" s="25" customFormat="1" x14ac:dyDescent="0.25">
      <c r="A504" s="42"/>
      <c r="B504" s="22"/>
      <c r="C504" s="1"/>
      <c r="D504" s="1"/>
      <c r="E504" s="23"/>
      <c r="F504" s="24"/>
      <c r="G504" s="1"/>
      <c r="H504" s="1"/>
      <c r="I504" s="1"/>
    </row>
    <row r="505" spans="1:9" s="25" customFormat="1" x14ac:dyDescent="0.25">
      <c r="A505" s="42"/>
      <c r="B505" s="22"/>
      <c r="C505" s="1"/>
      <c r="D505" s="1"/>
      <c r="E505" s="23"/>
      <c r="F505" s="24"/>
      <c r="G505" s="1"/>
      <c r="H505" s="1"/>
      <c r="I505" s="1"/>
    </row>
    <row r="506" spans="1:9" s="25" customFormat="1" x14ac:dyDescent="0.25">
      <c r="A506" s="42"/>
      <c r="B506" s="22"/>
      <c r="C506" s="1"/>
      <c r="D506" s="1"/>
      <c r="E506" s="23"/>
      <c r="F506" s="24"/>
      <c r="G506" s="1"/>
      <c r="H506" s="1"/>
      <c r="I506" s="1"/>
    </row>
    <row r="507" spans="1:9" s="25" customFormat="1" x14ac:dyDescent="0.25">
      <c r="A507" s="42"/>
      <c r="B507" s="22"/>
      <c r="C507" s="1"/>
      <c r="D507" s="1"/>
      <c r="E507" s="23"/>
      <c r="F507" s="24"/>
      <c r="G507" s="1"/>
      <c r="H507" s="1"/>
      <c r="I507" s="1"/>
    </row>
    <row r="508" spans="1:9" s="25" customFormat="1" x14ac:dyDescent="0.25">
      <c r="A508" s="42"/>
      <c r="B508" s="22"/>
      <c r="C508" s="1"/>
      <c r="D508" s="1"/>
      <c r="E508" s="23"/>
      <c r="F508" s="24"/>
      <c r="G508" s="1"/>
      <c r="H508" s="1"/>
      <c r="I508" s="1"/>
    </row>
    <row r="509" spans="1:9" s="25" customFormat="1" x14ac:dyDescent="0.25">
      <c r="A509" s="42"/>
      <c r="B509" s="22"/>
      <c r="C509" s="1"/>
      <c r="D509" s="1"/>
      <c r="E509" s="23"/>
      <c r="F509" s="24"/>
      <c r="G509" s="1"/>
      <c r="H509" s="1"/>
      <c r="I509" s="1"/>
    </row>
    <row r="510" spans="1:9" s="25" customFormat="1" x14ac:dyDescent="0.25">
      <c r="A510" s="42"/>
      <c r="B510" s="22"/>
      <c r="C510" s="1"/>
      <c r="D510" s="1"/>
      <c r="E510" s="23"/>
      <c r="F510" s="24"/>
      <c r="G510" s="1"/>
      <c r="H510" s="1"/>
      <c r="I510" s="1"/>
    </row>
    <row r="511" spans="1:9" s="25" customFormat="1" x14ac:dyDescent="0.25">
      <c r="A511" s="42"/>
      <c r="B511" s="22"/>
      <c r="C511" s="1"/>
      <c r="D511" s="1"/>
      <c r="E511" s="23"/>
      <c r="F511" s="24"/>
      <c r="G511" s="1"/>
      <c r="H511" s="1"/>
      <c r="I511" s="1"/>
    </row>
    <row r="512" spans="1:9" s="25" customFormat="1" x14ac:dyDescent="0.25">
      <c r="A512" s="42"/>
      <c r="B512" s="22"/>
      <c r="C512" s="1"/>
      <c r="D512" s="1"/>
      <c r="E512" s="23"/>
      <c r="F512" s="24"/>
      <c r="G512" s="1"/>
      <c r="H512" s="1"/>
      <c r="I512" s="1"/>
    </row>
    <row r="513" spans="1:9" s="25" customFormat="1" x14ac:dyDescent="0.25">
      <c r="A513" s="42"/>
      <c r="B513" s="22"/>
      <c r="C513" s="1"/>
      <c r="D513" s="1"/>
      <c r="E513" s="23"/>
      <c r="F513" s="24"/>
      <c r="G513" s="1"/>
      <c r="H513" s="1"/>
      <c r="I513" s="1"/>
    </row>
    <row r="514" spans="1:9" s="25" customFormat="1" x14ac:dyDescent="0.25">
      <c r="A514" s="42"/>
      <c r="B514" s="22"/>
      <c r="C514" s="1"/>
      <c r="D514" s="1"/>
      <c r="E514" s="23"/>
      <c r="F514" s="24"/>
      <c r="G514" s="1"/>
      <c r="H514" s="1"/>
      <c r="I514" s="1"/>
    </row>
    <row r="515" spans="1:9" s="25" customFormat="1" x14ac:dyDescent="0.25">
      <c r="A515" s="42"/>
      <c r="B515" s="22"/>
      <c r="C515" s="1"/>
      <c r="D515" s="1"/>
      <c r="E515" s="23"/>
      <c r="F515" s="24"/>
      <c r="G515" s="1"/>
      <c r="H515" s="1"/>
      <c r="I515" s="1"/>
    </row>
    <row r="516" spans="1:9" s="25" customFormat="1" x14ac:dyDescent="0.25">
      <c r="A516" s="42"/>
      <c r="B516" s="22"/>
      <c r="C516" s="1"/>
      <c r="D516" s="1"/>
      <c r="E516" s="23"/>
      <c r="F516" s="24"/>
      <c r="G516" s="1"/>
      <c r="H516" s="1"/>
      <c r="I516" s="1"/>
    </row>
  </sheetData>
  <mergeCells count="67">
    <mergeCell ref="B155:F155"/>
    <mergeCell ref="B158:F158"/>
    <mergeCell ref="B159:F159"/>
    <mergeCell ref="B160:F160"/>
    <mergeCell ref="B72:F72"/>
    <mergeCell ref="B77:C77"/>
    <mergeCell ref="B142:F142"/>
    <mergeCell ref="B78:G78"/>
    <mergeCell ref="B108:F108"/>
    <mergeCell ref="B109:F109"/>
    <mergeCell ref="B111:F111"/>
    <mergeCell ref="B112:G112"/>
    <mergeCell ref="B110:F110"/>
    <mergeCell ref="B118:F118"/>
    <mergeCell ref="B145:F145"/>
    <mergeCell ref="B153:F153"/>
    <mergeCell ref="B12:G12"/>
    <mergeCell ref="B161:F161"/>
    <mergeCell ref="B156:F156"/>
    <mergeCell ref="B157:F157"/>
    <mergeCell ref="B45:F45"/>
    <mergeCell ref="B46:G46"/>
    <mergeCell ref="B73:D73"/>
    <mergeCell ref="F73:G73"/>
    <mergeCell ref="B55:F55"/>
    <mergeCell ref="B59:G59"/>
    <mergeCell ref="B61:F61"/>
    <mergeCell ref="B62:G62"/>
    <mergeCell ref="B64:F64"/>
    <mergeCell ref="B68:F68"/>
    <mergeCell ref="B69:F69"/>
    <mergeCell ref="B154:F154"/>
    <mergeCell ref="B7:I7"/>
    <mergeCell ref="B9:I9"/>
    <mergeCell ref="H10:H11"/>
    <mergeCell ref="I10:I11"/>
    <mergeCell ref="B10:B11"/>
    <mergeCell ref="C10:C11"/>
    <mergeCell ref="D10:D11"/>
    <mergeCell ref="E10:E11"/>
    <mergeCell ref="F10:F11"/>
    <mergeCell ref="B3:I3"/>
    <mergeCell ref="B2:I2"/>
    <mergeCell ref="B1:I1"/>
    <mergeCell ref="F76:G76"/>
    <mergeCell ref="B74:C74"/>
    <mergeCell ref="B75:C75"/>
    <mergeCell ref="B70:F70"/>
    <mergeCell ref="G10:G11"/>
    <mergeCell ref="B56:G56"/>
    <mergeCell ref="B58:F58"/>
    <mergeCell ref="B67:F67"/>
    <mergeCell ref="B71:F71"/>
    <mergeCell ref="B65:G65"/>
    <mergeCell ref="F74:G74"/>
    <mergeCell ref="F75:G75"/>
    <mergeCell ref="B5:I5"/>
    <mergeCell ref="B150:F150"/>
    <mergeCell ref="B148:F148"/>
    <mergeCell ref="B149:F149"/>
    <mergeCell ref="B151:F151"/>
    <mergeCell ref="B152:F152"/>
    <mergeCell ref="B121:F121"/>
    <mergeCell ref="B136:F136"/>
    <mergeCell ref="B137:G137"/>
    <mergeCell ref="F77:G77"/>
    <mergeCell ref="B76:C76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G6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5"/>
  <sheetViews>
    <sheetView workbookViewId="0">
      <selection activeCell="G23" activeCellId="3" sqref="G41:H41 G35:H35 G29:H29 G23:H23"/>
    </sheetView>
  </sheetViews>
  <sheetFormatPr baseColWidth="10" defaultRowHeight="15" x14ac:dyDescent="0.25"/>
  <sheetData>
    <row r="1" spans="1:8" s="159" customFormat="1" ht="18" x14ac:dyDescent="0.2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s="159" customFormat="1" ht="12.75" x14ac:dyDescent="0.2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s="159" customFormat="1" ht="12.75" x14ac:dyDescent="0.2">
      <c r="A3" s="486"/>
      <c r="B3" s="487"/>
      <c r="C3" s="160"/>
      <c r="D3" s="161"/>
      <c r="E3" s="161"/>
      <c r="F3" s="162"/>
      <c r="G3" s="486"/>
      <c r="H3" s="487"/>
    </row>
    <row r="4" spans="1:8" s="159" customFormat="1" ht="12.75" x14ac:dyDescent="0.2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s="159" customFormat="1" ht="12.75" x14ac:dyDescent="0.2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s="159" customFormat="1" ht="13.5" thickBot="1" x14ac:dyDescent="0.25">
      <c r="A6" s="488"/>
      <c r="B6" s="489"/>
      <c r="C6" s="163"/>
      <c r="D6" s="164"/>
      <c r="E6" s="164"/>
      <c r="F6" s="165"/>
      <c r="G6" s="488"/>
      <c r="H6" s="489"/>
    </row>
    <row r="7" spans="1:8" s="159" customFormat="1" ht="12.75" x14ac:dyDescent="0.2"/>
    <row r="8" spans="1:8" s="159" customFormat="1" ht="13.5" thickBot="1" x14ac:dyDescent="0.25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s="159" customFormat="1" ht="13.5" thickBot="1" x14ac:dyDescent="0.25">
      <c r="A9" s="220"/>
      <c r="B9" s="220"/>
      <c r="C9" s="220"/>
      <c r="D9" s="220"/>
      <c r="E9" s="220"/>
      <c r="F9" s="220"/>
      <c r="G9" s="497" t="s">
        <v>274</v>
      </c>
      <c r="H9" s="498"/>
    </row>
    <row r="10" spans="1:8" s="159" customFormat="1" ht="13.5" thickBot="1" x14ac:dyDescent="0.25">
      <c r="E10" s="167"/>
    </row>
    <row r="11" spans="1:8" s="159" customFormat="1" ht="54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s="159" customFormat="1" ht="12.7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s="159" customFormat="1" ht="13.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s="159" customFormat="1" ht="13.5" thickBot="1" x14ac:dyDescent="0.25">
      <c r="A14" s="168"/>
    </row>
    <row r="15" spans="1:8" s="159" customFormat="1" ht="12.75" customHeight="1" x14ac:dyDescent="0.2">
      <c r="A15" s="505" t="s">
        <v>208</v>
      </c>
      <c r="B15" s="499" t="s">
        <v>437</v>
      </c>
      <c r="C15" s="500"/>
      <c r="D15" s="500"/>
      <c r="E15" s="500"/>
      <c r="F15" s="501"/>
      <c r="G15" s="505" t="s">
        <v>250</v>
      </c>
      <c r="H15" s="507" t="s">
        <v>93</v>
      </c>
    </row>
    <row r="16" spans="1:8" s="159" customFormat="1" ht="24.75" customHeight="1" thickBot="1" x14ac:dyDescent="0.25">
      <c r="A16" s="506"/>
      <c r="B16" s="502"/>
      <c r="C16" s="503"/>
      <c r="D16" s="503"/>
      <c r="E16" s="503"/>
      <c r="F16" s="504"/>
      <c r="G16" s="506"/>
      <c r="H16" s="508"/>
    </row>
    <row r="17" spans="1:8" s="159" customFormat="1" ht="13.5" x14ac:dyDescent="0.2">
      <c r="A17" s="170" t="s">
        <v>168</v>
      </c>
      <c r="B17" s="171"/>
      <c r="C17" s="171"/>
      <c r="D17" s="171"/>
      <c r="E17" s="171"/>
      <c r="F17" s="171"/>
      <c r="G17" s="171"/>
      <c r="H17" s="171"/>
    </row>
    <row r="18" spans="1:8" s="159" customFormat="1" ht="12.75" x14ac:dyDescent="0.2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s="159" customFormat="1" ht="12.75" x14ac:dyDescent="0.2">
      <c r="A19" s="597" t="s">
        <v>289</v>
      </c>
      <c r="B19" s="598"/>
      <c r="C19" s="512">
        <v>90000</v>
      </c>
      <c r="D19" s="512"/>
      <c r="E19" s="535">
        <v>10</v>
      </c>
      <c r="F19" s="535"/>
      <c r="G19" s="528">
        <f>+C19/E19</f>
        <v>9000</v>
      </c>
      <c r="H19" s="528"/>
    </row>
    <row r="20" spans="1:8" s="159" customFormat="1" ht="12.75" x14ac:dyDescent="0.2">
      <c r="A20" s="510" t="s">
        <v>290</v>
      </c>
      <c r="B20" s="511"/>
      <c r="C20" s="512">
        <f>+[2]Equipos!B10</f>
        <v>30000</v>
      </c>
      <c r="D20" s="512"/>
      <c r="E20" s="535">
        <v>10</v>
      </c>
      <c r="F20" s="535"/>
      <c r="G20" s="528">
        <f>+C20/E20</f>
        <v>3000</v>
      </c>
      <c r="H20" s="528"/>
    </row>
    <row r="21" spans="1:8" s="159" customFormat="1" ht="12.75" x14ac:dyDescent="0.2">
      <c r="A21" s="599" t="s">
        <v>380</v>
      </c>
      <c r="B21" s="600"/>
      <c r="C21" s="601">
        <v>130000</v>
      </c>
      <c r="D21" s="601"/>
      <c r="E21" s="602">
        <v>50</v>
      </c>
      <c r="F21" s="602"/>
      <c r="G21" s="528">
        <f>+C21/E21</f>
        <v>2600</v>
      </c>
      <c r="H21" s="528"/>
    </row>
    <row r="22" spans="1:8" s="159" customFormat="1" ht="12.75" x14ac:dyDescent="0.2">
      <c r="A22" s="510" t="s">
        <v>173</v>
      </c>
      <c r="B22" s="511"/>
      <c r="C22" s="512"/>
      <c r="D22" s="512"/>
      <c r="E22" s="536">
        <v>0.1</v>
      </c>
      <c r="F22" s="536"/>
      <c r="G22" s="528">
        <f>ROUND(E22*G41,0)</f>
        <v>2004</v>
      </c>
      <c r="H22" s="528"/>
    </row>
    <row r="23" spans="1:8" s="159" customFormat="1" ht="12.75" x14ac:dyDescent="0.2">
      <c r="A23" s="171"/>
      <c r="B23" s="171"/>
      <c r="C23" s="523" t="s">
        <v>174</v>
      </c>
      <c r="D23" s="523"/>
      <c r="E23" s="523"/>
      <c r="F23" s="523"/>
      <c r="G23" s="524">
        <f>SUM(G19:G22)</f>
        <v>16604</v>
      </c>
      <c r="H23" s="524"/>
    </row>
    <row r="24" spans="1:8" s="159" customFormat="1" ht="13.5" x14ac:dyDescent="0.25">
      <c r="C24" s="172"/>
      <c r="D24" s="172"/>
      <c r="E24" s="172"/>
      <c r="F24" s="172"/>
      <c r="G24" s="173"/>
      <c r="H24" s="173"/>
    </row>
    <row r="25" spans="1:8" s="159" customFormat="1" ht="13.5" x14ac:dyDescent="0.2">
      <c r="A25" s="170" t="s">
        <v>175</v>
      </c>
      <c r="B25" s="171"/>
      <c r="C25" s="171"/>
      <c r="D25" s="171"/>
      <c r="E25" s="171"/>
      <c r="F25" s="171"/>
      <c r="G25" s="171"/>
      <c r="H25" s="171"/>
    </row>
    <row r="26" spans="1:8" s="159" customFormat="1" ht="12.75" x14ac:dyDescent="0.2">
      <c r="A26" s="509" t="s">
        <v>1</v>
      </c>
      <c r="B26" s="509"/>
      <c r="C26" s="174" t="s">
        <v>176</v>
      </c>
      <c r="D26" s="174" t="s">
        <v>177</v>
      </c>
      <c r="E26" s="509" t="s">
        <v>3</v>
      </c>
      <c r="F26" s="509"/>
      <c r="G26" s="509" t="s">
        <v>171</v>
      </c>
      <c r="H26" s="509"/>
    </row>
    <row r="27" spans="1:8" s="159" customFormat="1" ht="12.75" x14ac:dyDescent="0.2">
      <c r="A27" s="510" t="s">
        <v>291</v>
      </c>
      <c r="B27" s="511"/>
      <c r="C27" s="183" t="s">
        <v>93</v>
      </c>
      <c r="D27" s="178">
        <v>12000</v>
      </c>
      <c r="E27" s="603">
        <v>1.1000000000000001</v>
      </c>
      <c r="F27" s="604"/>
      <c r="G27" s="514">
        <f>+D27*E27</f>
        <v>13200.000000000002</v>
      </c>
      <c r="H27" s="515"/>
    </row>
    <row r="28" spans="1:8" s="159" customFormat="1" ht="12.75" x14ac:dyDescent="0.2">
      <c r="A28" s="527" t="s">
        <v>234</v>
      </c>
      <c r="B28" s="527"/>
      <c r="C28" s="183" t="s">
        <v>235</v>
      </c>
      <c r="D28" s="178">
        <v>40</v>
      </c>
      <c r="E28" s="603">
        <v>35</v>
      </c>
      <c r="F28" s="604"/>
      <c r="G28" s="514">
        <f>+D28*E28</f>
        <v>1400</v>
      </c>
      <c r="H28" s="515"/>
    </row>
    <row r="29" spans="1:8" s="159" customFormat="1" ht="12.75" x14ac:dyDescent="0.2">
      <c r="A29" s="179"/>
      <c r="B29" s="179"/>
      <c r="C29" s="523" t="s">
        <v>174</v>
      </c>
      <c r="D29" s="523"/>
      <c r="E29" s="523"/>
      <c r="F29" s="523"/>
      <c r="G29" s="528">
        <f>SUM(G27:G28)</f>
        <v>14600.000000000002</v>
      </c>
      <c r="H29" s="528"/>
    </row>
    <row r="30" spans="1:8" s="159" customFormat="1" ht="12.75" x14ac:dyDescent="0.2"/>
    <row r="31" spans="1:8" s="159" customFormat="1" ht="13.5" x14ac:dyDescent="0.2">
      <c r="A31" s="170" t="s">
        <v>181</v>
      </c>
      <c r="B31" s="171"/>
      <c r="C31" s="171"/>
      <c r="D31" s="171"/>
      <c r="E31" s="171"/>
      <c r="F31" s="171"/>
      <c r="G31" s="171"/>
      <c r="H31" s="171"/>
    </row>
    <row r="32" spans="1:8" s="159" customFormat="1" ht="12.75" x14ac:dyDescent="0.2">
      <c r="A32" s="509" t="s">
        <v>182</v>
      </c>
      <c r="B32" s="509"/>
      <c r="C32" s="174" t="s">
        <v>183</v>
      </c>
      <c r="D32" s="181" t="s">
        <v>184</v>
      </c>
      <c r="E32" s="509" t="s">
        <v>185</v>
      </c>
      <c r="F32" s="509"/>
      <c r="G32" s="509" t="s">
        <v>171</v>
      </c>
      <c r="H32" s="509"/>
    </row>
    <row r="33" spans="1:12" s="159" customFormat="1" ht="13.5" x14ac:dyDescent="0.25">
      <c r="A33" s="510" t="s">
        <v>292</v>
      </c>
      <c r="B33" s="511"/>
      <c r="C33" s="221">
        <f>+E27</f>
        <v>1.1000000000000001</v>
      </c>
      <c r="D33" s="189">
        <v>70</v>
      </c>
      <c r="E33" s="512">
        <v>1000</v>
      </c>
      <c r="F33" s="512"/>
      <c r="G33" s="528">
        <f>+(E33*D33)*C33</f>
        <v>77000</v>
      </c>
      <c r="H33" s="528"/>
    </row>
    <row r="34" spans="1:12" s="159" customFormat="1" ht="12.75" x14ac:dyDescent="0.2">
      <c r="A34" s="527"/>
      <c r="B34" s="527"/>
      <c r="C34" s="183"/>
      <c r="D34" s="183"/>
      <c r="E34" s="512"/>
      <c r="F34" s="512"/>
      <c r="G34" s="528"/>
      <c r="H34" s="528"/>
    </row>
    <row r="35" spans="1:12" s="159" customFormat="1" ht="12.75" x14ac:dyDescent="0.2">
      <c r="A35" s="179"/>
      <c r="B35" s="179"/>
      <c r="C35" s="523" t="s">
        <v>174</v>
      </c>
      <c r="D35" s="523"/>
      <c r="E35" s="523"/>
      <c r="F35" s="523"/>
      <c r="G35" s="528">
        <f>SUM(G33:G34)</f>
        <v>77000</v>
      </c>
      <c r="H35" s="528"/>
    </row>
    <row r="36" spans="1:12" s="159" customFormat="1" ht="12.75" x14ac:dyDescent="0.2"/>
    <row r="37" spans="1:12" s="159" customFormat="1" ht="13.5" x14ac:dyDescent="0.2">
      <c r="A37" s="170" t="s">
        <v>186</v>
      </c>
      <c r="B37" s="171"/>
      <c r="C37" s="171"/>
      <c r="D37" s="171"/>
      <c r="E37" s="171"/>
      <c r="F37" s="171"/>
      <c r="G37" s="171"/>
      <c r="H37" s="171"/>
    </row>
    <row r="38" spans="1:12" s="159" customFormat="1" ht="12.75" x14ac:dyDescent="0.2">
      <c r="A38" s="509" t="s">
        <v>187</v>
      </c>
      <c r="B38" s="509"/>
      <c r="C38" s="174" t="s">
        <v>188</v>
      </c>
      <c r="D38" s="181" t="s">
        <v>189</v>
      </c>
      <c r="E38" s="185" t="s">
        <v>190</v>
      </c>
      <c r="F38" s="186" t="s">
        <v>170</v>
      </c>
      <c r="G38" s="509" t="s">
        <v>171</v>
      </c>
      <c r="H38" s="509"/>
      <c r="J38" s="222"/>
      <c r="K38" s="222"/>
      <c r="L38" s="223"/>
    </row>
    <row r="39" spans="1:12" s="159" customFormat="1" ht="12.75" x14ac:dyDescent="0.2">
      <c r="A39" s="529" t="s">
        <v>201</v>
      </c>
      <c r="B39" s="530"/>
      <c r="C39" s="178">
        <v>60000</v>
      </c>
      <c r="D39" s="188">
        <v>0.85</v>
      </c>
      <c r="E39" s="178">
        <f>+C39*(1+D39)</f>
        <v>111000</v>
      </c>
      <c r="F39" s="224">
        <v>12</v>
      </c>
      <c r="G39" s="528">
        <f>E39/F39</f>
        <v>9250</v>
      </c>
      <c r="H39" s="528"/>
      <c r="J39" s="222"/>
      <c r="K39" s="222"/>
      <c r="L39" s="225"/>
    </row>
    <row r="40" spans="1:12" s="159" customFormat="1" ht="12.75" x14ac:dyDescent="0.2">
      <c r="A40" s="531" t="s">
        <v>220</v>
      </c>
      <c r="B40" s="531"/>
      <c r="C40" s="178">
        <f>35000*2</f>
        <v>70000</v>
      </c>
      <c r="D40" s="188">
        <v>0.85</v>
      </c>
      <c r="E40" s="178">
        <f>+C40*(1+D40)</f>
        <v>129500</v>
      </c>
      <c r="F40" s="226">
        <f>F39</f>
        <v>12</v>
      </c>
      <c r="G40" s="528">
        <f>E40/F40</f>
        <v>10791.666666666666</v>
      </c>
      <c r="H40" s="528"/>
      <c r="J40" s="222"/>
      <c r="K40" s="222"/>
      <c r="L40" s="225"/>
    </row>
    <row r="41" spans="1:12" s="159" customFormat="1" ht="12.75" x14ac:dyDescent="0.2">
      <c r="A41" s="179"/>
      <c r="B41" s="179"/>
      <c r="C41" s="523" t="s">
        <v>174</v>
      </c>
      <c r="D41" s="523"/>
      <c r="E41" s="523"/>
      <c r="F41" s="523"/>
      <c r="G41" s="528">
        <f>ROUND(G39+G40,0)</f>
        <v>20042</v>
      </c>
      <c r="H41" s="528"/>
    </row>
    <row r="42" spans="1:12" s="159" customFormat="1" ht="12.75" x14ac:dyDescent="0.2">
      <c r="G42" s="227"/>
      <c r="H42" s="227"/>
    </row>
    <row r="43" spans="1:12" s="159" customFormat="1" ht="12.75" x14ac:dyDescent="0.2">
      <c r="G43" s="227"/>
      <c r="H43" s="227"/>
    </row>
    <row r="44" spans="1:12" s="159" customFormat="1" ht="12.75" x14ac:dyDescent="0.2">
      <c r="A44" s="605" t="s">
        <v>193</v>
      </c>
      <c r="B44" s="605"/>
      <c r="C44" s="605"/>
      <c r="D44" s="605"/>
      <c r="E44" s="605"/>
      <c r="F44" s="605"/>
      <c r="G44" s="606">
        <f>+ROUND(G23+G29+G35+G41,0)</f>
        <v>128246</v>
      </c>
      <c r="H44" s="606"/>
    </row>
    <row r="45" spans="1:12" x14ac:dyDescent="0.25">
      <c r="G45" s="309">
        <f>+G44</f>
        <v>128246</v>
      </c>
    </row>
  </sheetData>
  <mergeCells count="67">
    <mergeCell ref="A40:B40"/>
    <mergeCell ref="G40:H40"/>
    <mergeCell ref="C41:F41"/>
    <mergeCell ref="G41:H41"/>
    <mergeCell ref="A44:F44"/>
    <mergeCell ref="G44:H44"/>
    <mergeCell ref="C35:F35"/>
    <mergeCell ref="G35:H35"/>
    <mergeCell ref="A38:B38"/>
    <mergeCell ref="G38:H38"/>
    <mergeCell ref="A39:B39"/>
    <mergeCell ref="G39:H39"/>
    <mergeCell ref="A33:B33"/>
    <mergeCell ref="E33:F33"/>
    <mergeCell ref="G33:H33"/>
    <mergeCell ref="A34:B34"/>
    <mergeCell ref="E34:F34"/>
    <mergeCell ref="G34:H34"/>
    <mergeCell ref="A32:B32"/>
    <mergeCell ref="E32:F32"/>
    <mergeCell ref="G32:H32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C29:F29"/>
    <mergeCell ref="G29:H29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4"/>
  <sheetViews>
    <sheetView workbookViewId="0">
      <selection activeCell="G43" sqref="G43:H43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220"/>
      <c r="B9" s="220"/>
      <c r="C9" s="220"/>
      <c r="D9" s="220"/>
      <c r="E9" s="220"/>
      <c r="F9" s="220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67"/>
      <c r="F10" s="159"/>
      <c r="G10" s="159"/>
      <c r="H10" s="159"/>
    </row>
    <row r="11" spans="1:8" ht="48.7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ht="26.25" customHeight="1" x14ac:dyDescent="0.25">
      <c r="A15" s="505" t="s">
        <v>214</v>
      </c>
      <c r="B15" s="499" t="s">
        <v>293</v>
      </c>
      <c r="C15" s="500"/>
      <c r="D15" s="500"/>
      <c r="E15" s="500"/>
      <c r="F15" s="501"/>
      <c r="G15" s="505" t="s">
        <v>250</v>
      </c>
      <c r="H15" s="507" t="s">
        <v>93</v>
      </c>
    </row>
    <row r="16" spans="1:8" ht="15.75" thickBot="1" x14ac:dyDescent="0.3">
      <c r="A16" s="506"/>
      <c r="B16" s="502"/>
      <c r="C16" s="503"/>
      <c r="D16" s="503"/>
      <c r="E16" s="503"/>
      <c r="F16" s="504"/>
      <c r="G16" s="506"/>
      <c r="H16" s="508"/>
    </row>
    <row r="17" spans="1:8" x14ac:dyDescent="0.25">
      <c r="A17" s="170" t="s">
        <v>168</v>
      </c>
      <c r="B17" s="171"/>
      <c r="C17" s="171"/>
      <c r="D17" s="171"/>
      <c r="E17" s="171"/>
      <c r="F17" s="171"/>
      <c r="G17" s="171"/>
      <c r="H17" s="171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597" t="s">
        <v>289</v>
      </c>
      <c r="B19" s="598"/>
      <c r="C19" s="512">
        <v>90000</v>
      </c>
      <c r="D19" s="512"/>
      <c r="E19" s="535">
        <v>10</v>
      </c>
      <c r="F19" s="535"/>
      <c r="G19" s="528">
        <f>+C19/E19</f>
        <v>9000</v>
      </c>
      <c r="H19" s="528"/>
    </row>
    <row r="20" spans="1:8" x14ac:dyDescent="0.25">
      <c r="A20" s="510" t="s">
        <v>290</v>
      </c>
      <c r="B20" s="511"/>
      <c r="C20" s="512">
        <v>30000</v>
      </c>
      <c r="D20" s="512"/>
      <c r="E20" s="535">
        <v>10</v>
      </c>
      <c r="F20" s="535"/>
      <c r="G20" s="528">
        <v>6000</v>
      </c>
      <c r="H20" s="528"/>
    </row>
    <row r="21" spans="1:8" x14ac:dyDescent="0.25">
      <c r="A21" s="510" t="s">
        <v>173</v>
      </c>
      <c r="B21" s="511"/>
      <c r="C21" s="512"/>
      <c r="D21" s="512"/>
      <c r="E21" s="536">
        <v>0.1</v>
      </c>
      <c r="F21" s="536"/>
      <c r="G21" s="528">
        <f>+E21*G41</f>
        <v>0</v>
      </c>
      <c r="H21" s="528"/>
    </row>
    <row r="22" spans="1:8" x14ac:dyDescent="0.25">
      <c r="A22" s="171"/>
      <c r="B22" s="171"/>
      <c r="C22" s="523" t="s">
        <v>174</v>
      </c>
      <c r="D22" s="523"/>
      <c r="E22" s="523"/>
      <c r="F22" s="523"/>
      <c r="G22" s="524">
        <f>SUM(G19:G21)</f>
        <v>15000</v>
      </c>
      <c r="H22" s="524"/>
    </row>
    <row r="23" spans="1:8" x14ac:dyDescent="0.25">
      <c r="A23" s="159"/>
      <c r="B23" s="159"/>
      <c r="C23" s="172"/>
      <c r="D23" s="172"/>
      <c r="E23" s="172"/>
      <c r="F23" s="172"/>
      <c r="G23" s="173"/>
      <c r="H23" s="173"/>
    </row>
    <row r="24" spans="1:8" x14ac:dyDescent="0.25">
      <c r="A24" s="170" t="s">
        <v>175</v>
      </c>
      <c r="B24" s="171"/>
      <c r="C24" s="171"/>
      <c r="D24" s="171"/>
      <c r="E24" s="171"/>
      <c r="F24" s="171"/>
      <c r="G24" s="171"/>
      <c r="H24" s="171"/>
    </row>
    <row r="25" spans="1:8" x14ac:dyDescent="0.25">
      <c r="A25" s="509" t="s">
        <v>1</v>
      </c>
      <c r="B25" s="509"/>
      <c r="C25" s="174" t="s">
        <v>176</v>
      </c>
      <c r="D25" s="174" t="s">
        <v>177</v>
      </c>
      <c r="E25" s="509" t="s">
        <v>3</v>
      </c>
      <c r="F25" s="509"/>
      <c r="G25" s="509" t="s">
        <v>171</v>
      </c>
      <c r="H25" s="509"/>
    </row>
    <row r="26" spans="1:8" ht="24" customHeight="1" x14ac:dyDescent="0.25">
      <c r="A26" s="597" t="s">
        <v>294</v>
      </c>
      <c r="B26" s="598"/>
      <c r="C26" s="189" t="s">
        <v>93</v>
      </c>
      <c r="D26" s="178">
        <v>70000</v>
      </c>
      <c r="E26" s="603">
        <v>1.1000000000000001</v>
      </c>
      <c r="F26" s="604"/>
      <c r="G26" s="514">
        <f>+D26*E26</f>
        <v>77000</v>
      </c>
      <c r="H26" s="515"/>
    </row>
    <row r="27" spans="1:8" x14ac:dyDescent="0.25">
      <c r="A27" s="527"/>
      <c r="B27" s="527"/>
      <c r="C27" s="183"/>
      <c r="D27" s="178"/>
      <c r="E27" s="603"/>
      <c r="F27" s="604"/>
      <c r="G27" s="514"/>
      <c r="H27" s="515"/>
    </row>
    <row r="28" spans="1:8" x14ac:dyDescent="0.25">
      <c r="A28" s="179"/>
      <c r="B28" s="179"/>
      <c r="C28" s="523" t="s">
        <v>174</v>
      </c>
      <c r="D28" s="523"/>
      <c r="E28" s="523"/>
      <c r="F28" s="523"/>
      <c r="G28" s="524">
        <f>SUM(G26:G27)</f>
        <v>77000</v>
      </c>
      <c r="H28" s="524"/>
    </row>
    <row r="29" spans="1:8" x14ac:dyDescent="0.25">
      <c r="A29" s="159"/>
      <c r="B29" s="159"/>
      <c r="C29" s="159"/>
      <c r="D29" s="159"/>
      <c r="E29" s="159"/>
      <c r="F29" s="159"/>
      <c r="G29" s="159"/>
      <c r="H29" s="159"/>
    </row>
    <row r="30" spans="1:8" x14ac:dyDescent="0.25">
      <c r="A30" s="170" t="s">
        <v>253</v>
      </c>
      <c r="B30" s="171"/>
      <c r="C30" s="171"/>
      <c r="D30" s="171"/>
      <c r="E30" s="171"/>
      <c r="F30" s="171"/>
      <c r="G30" s="171"/>
      <c r="H30" s="171"/>
    </row>
    <row r="31" spans="1:8" x14ac:dyDescent="0.25">
      <c r="A31" s="509" t="s">
        <v>182</v>
      </c>
      <c r="B31" s="509"/>
      <c r="C31" s="174" t="s">
        <v>183</v>
      </c>
      <c r="D31" s="181" t="s">
        <v>184</v>
      </c>
      <c r="E31" s="509" t="s">
        <v>185</v>
      </c>
      <c r="F31" s="509"/>
      <c r="G31" s="509" t="s">
        <v>171</v>
      </c>
      <c r="H31" s="509"/>
    </row>
    <row r="32" spans="1:8" ht="21.75" customHeight="1" x14ac:dyDescent="0.25">
      <c r="A32" s="597" t="s">
        <v>294</v>
      </c>
      <c r="B32" s="598"/>
      <c r="C32" s="189">
        <f>+E26</f>
        <v>1.1000000000000001</v>
      </c>
      <c r="D32" s="189">
        <v>70</v>
      </c>
      <c r="E32" s="512">
        <v>1000</v>
      </c>
      <c r="F32" s="512"/>
      <c r="G32" s="528">
        <f>+(E32*D32)*C32</f>
        <v>77000</v>
      </c>
      <c r="H32" s="528"/>
    </row>
    <row r="33" spans="1:8" x14ac:dyDescent="0.25">
      <c r="A33" s="527"/>
      <c r="B33" s="527"/>
      <c r="C33" s="183"/>
      <c r="D33" s="183"/>
      <c r="E33" s="512"/>
      <c r="F33" s="512"/>
      <c r="G33" s="528"/>
      <c r="H33" s="528"/>
    </row>
    <row r="34" spans="1:8" x14ac:dyDescent="0.25">
      <c r="A34" s="179"/>
      <c r="B34" s="179"/>
      <c r="C34" s="523" t="s">
        <v>174</v>
      </c>
      <c r="D34" s="523"/>
      <c r="E34" s="523"/>
      <c r="F34" s="523"/>
      <c r="G34" s="524">
        <f>SUM(G32:H33)</f>
        <v>77000</v>
      </c>
      <c r="H34" s="524"/>
    </row>
    <row r="35" spans="1:8" x14ac:dyDescent="0.25">
      <c r="A35" s="159"/>
      <c r="B35" s="159"/>
      <c r="C35" s="159"/>
      <c r="D35" s="159"/>
      <c r="E35" s="159"/>
      <c r="F35" s="159"/>
      <c r="G35" s="159"/>
      <c r="H35" s="159"/>
    </row>
    <row r="36" spans="1:8" x14ac:dyDescent="0.25">
      <c r="A36" s="170" t="s">
        <v>255</v>
      </c>
      <c r="B36" s="171"/>
      <c r="C36" s="171"/>
      <c r="D36" s="171"/>
      <c r="E36" s="171"/>
      <c r="F36" s="171"/>
      <c r="G36" s="171"/>
      <c r="H36" s="171"/>
    </row>
    <row r="37" spans="1:8" x14ac:dyDescent="0.25">
      <c r="A37" s="509" t="s">
        <v>187</v>
      </c>
      <c r="B37" s="509"/>
      <c r="C37" s="174" t="s">
        <v>188</v>
      </c>
      <c r="D37" s="181" t="s">
        <v>189</v>
      </c>
      <c r="E37" s="185" t="s">
        <v>190</v>
      </c>
      <c r="F37" s="186" t="s">
        <v>170</v>
      </c>
      <c r="G37" s="509" t="s">
        <v>171</v>
      </c>
      <c r="H37" s="509"/>
    </row>
    <row r="38" spans="1:8" x14ac:dyDescent="0.25">
      <c r="A38" s="529" t="s">
        <v>201</v>
      </c>
      <c r="B38" s="530"/>
      <c r="C38" s="178">
        <v>60000</v>
      </c>
      <c r="D38" s="188">
        <v>0.85</v>
      </c>
      <c r="E38" s="178">
        <f>+C38*(1+D38)</f>
        <v>111000</v>
      </c>
      <c r="F38" s="228">
        <v>12</v>
      </c>
      <c r="G38" s="528">
        <f>E38/F38</f>
        <v>9250</v>
      </c>
      <c r="H38" s="528"/>
    </row>
    <row r="39" spans="1:8" x14ac:dyDescent="0.25">
      <c r="A39" s="531" t="s">
        <v>220</v>
      </c>
      <c r="B39" s="531"/>
      <c r="C39" s="178">
        <v>70000</v>
      </c>
      <c r="D39" s="188">
        <v>0.85</v>
      </c>
      <c r="E39" s="178">
        <f>+C39*(1+D39)</f>
        <v>129500</v>
      </c>
      <c r="F39" s="229">
        <f>+F38</f>
        <v>12</v>
      </c>
      <c r="G39" s="528">
        <f>E39/F39</f>
        <v>10791.666666666666</v>
      </c>
      <c r="H39" s="528"/>
    </row>
    <row r="40" spans="1:8" x14ac:dyDescent="0.25">
      <c r="A40" s="179"/>
      <c r="B40" s="179"/>
      <c r="C40" s="523" t="s">
        <v>174</v>
      </c>
      <c r="D40" s="523"/>
      <c r="E40" s="523"/>
      <c r="F40" s="523"/>
      <c r="G40" s="524">
        <f>ROUND(G38+G39,0)</f>
        <v>20042</v>
      </c>
      <c r="H40" s="524"/>
    </row>
    <row r="41" spans="1:8" x14ac:dyDescent="0.25">
      <c r="A41" s="159"/>
      <c r="B41" s="159"/>
      <c r="C41" s="159"/>
      <c r="D41" s="159"/>
      <c r="E41" s="159"/>
      <c r="F41" s="159"/>
      <c r="G41" s="230"/>
      <c r="H41" s="230"/>
    </row>
    <row r="42" spans="1:8" x14ac:dyDescent="0.25">
      <c r="A42" s="159"/>
      <c r="B42" s="159"/>
      <c r="C42" s="159"/>
      <c r="D42" s="159"/>
      <c r="E42" s="159"/>
      <c r="F42" s="159"/>
      <c r="G42" s="230"/>
      <c r="H42" s="230"/>
    </row>
    <row r="43" spans="1:8" x14ac:dyDescent="0.25">
      <c r="A43" s="532" t="s">
        <v>193</v>
      </c>
      <c r="B43" s="532"/>
      <c r="C43" s="532"/>
      <c r="D43" s="532"/>
      <c r="E43" s="532"/>
      <c r="F43" s="532"/>
      <c r="G43" s="607">
        <f>+ROUND(G22+G28+G34+G40,0)</f>
        <v>189042</v>
      </c>
      <c r="H43" s="607"/>
    </row>
    <row r="44" spans="1:8" x14ac:dyDescent="0.25">
      <c r="G44" s="309">
        <f>+G43</f>
        <v>189042</v>
      </c>
    </row>
  </sheetData>
  <mergeCells count="63">
    <mergeCell ref="A39:B39"/>
    <mergeCell ref="G39:H39"/>
    <mergeCell ref="C40:F40"/>
    <mergeCell ref="G40:H40"/>
    <mergeCell ref="A43:F43"/>
    <mergeCell ref="G43:H43"/>
    <mergeCell ref="C34:F34"/>
    <mergeCell ref="G34:H34"/>
    <mergeCell ref="A37:B37"/>
    <mergeCell ref="G37:H37"/>
    <mergeCell ref="A38:B38"/>
    <mergeCell ref="G38:H38"/>
    <mergeCell ref="A32:B32"/>
    <mergeCell ref="E32:F32"/>
    <mergeCell ref="G32:H32"/>
    <mergeCell ref="A33:B33"/>
    <mergeCell ref="E33:F33"/>
    <mergeCell ref="G33:H33"/>
    <mergeCell ref="A31:B31"/>
    <mergeCell ref="E31:F31"/>
    <mergeCell ref="G31:H31"/>
    <mergeCell ref="C22:F22"/>
    <mergeCell ref="G22:H22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workbookViewId="0">
      <selection activeCell="G45" sqref="G45:H45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220"/>
      <c r="B9" s="220"/>
      <c r="C9" s="220"/>
      <c r="D9" s="220"/>
      <c r="E9" s="220"/>
      <c r="F9" s="220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67"/>
      <c r="F10" s="159"/>
      <c r="G10" s="159"/>
      <c r="H10" s="159"/>
    </row>
    <row r="11" spans="1:8" ht="53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ht="25.5" customHeight="1" x14ac:dyDescent="0.25">
      <c r="A15" s="505" t="s">
        <v>356</v>
      </c>
      <c r="B15" s="499" t="s">
        <v>295</v>
      </c>
      <c r="C15" s="500"/>
      <c r="D15" s="500"/>
      <c r="E15" s="500"/>
      <c r="F15" s="501"/>
      <c r="G15" s="505" t="s">
        <v>250</v>
      </c>
      <c r="H15" s="507" t="s">
        <v>93</v>
      </c>
    </row>
    <row r="16" spans="1:8" ht="15.75" thickBot="1" x14ac:dyDescent="0.3">
      <c r="A16" s="506"/>
      <c r="B16" s="502"/>
      <c r="C16" s="503"/>
      <c r="D16" s="503"/>
      <c r="E16" s="503"/>
      <c r="F16" s="504"/>
      <c r="G16" s="506"/>
      <c r="H16" s="508"/>
    </row>
    <row r="17" spans="1:8" x14ac:dyDescent="0.25">
      <c r="A17" s="170" t="s">
        <v>168</v>
      </c>
      <c r="B17" s="171"/>
      <c r="C17" s="171"/>
      <c r="D17" s="171"/>
      <c r="E17" s="171"/>
      <c r="F17" s="171"/>
      <c r="G17" s="171"/>
      <c r="H17" s="171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597" t="s">
        <v>289</v>
      </c>
      <c r="B19" s="598"/>
      <c r="C19" s="512">
        <v>90000</v>
      </c>
      <c r="D19" s="512"/>
      <c r="E19" s="535">
        <v>10</v>
      </c>
      <c r="F19" s="535"/>
      <c r="G19" s="528">
        <f>+C19/E19</f>
        <v>9000</v>
      </c>
      <c r="H19" s="528"/>
    </row>
    <row r="20" spans="1:8" x14ac:dyDescent="0.25">
      <c r="A20" s="510" t="s">
        <v>290</v>
      </c>
      <c r="B20" s="511"/>
      <c r="C20" s="512">
        <v>30000</v>
      </c>
      <c r="D20" s="512"/>
      <c r="E20" s="535">
        <v>10</v>
      </c>
      <c r="F20" s="535"/>
      <c r="G20" s="528">
        <v>6000</v>
      </c>
      <c r="H20" s="528"/>
    </row>
    <row r="21" spans="1:8" x14ac:dyDescent="0.25">
      <c r="A21" s="510" t="s">
        <v>380</v>
      </c>
      <c r="B21" s="511"/>
      <c r="C21" s="601">
        <v>130000</v>
      </c>
      <c r="D21" s="601"/>
      <c r="E21" s="602">
        <v>40</v>
      </c>
      <c r="F21" s="602"/>
      <c r="G21" s="528">
        <f>+C21/E21</f>
        <v>3250</v>
      </c>
      <c r="H21" s="528"/>
    </row>
    <row r="22" spans="1:8" x14ac:dyDescent="0.25">
      <c r="A22" s="510" t="s">
        <v>173</v>
      </c>
      <c r="B22" s="511"/>
      <c r="C22" s="512"/>
      <c r="D22" s="512"/>
      <c r="E22" s="521">
        <v>0.1</v>
      </c>
      <c r="F22" s="522"/>
      <c r="G22" s="528">
        <f>+E22*G42</f>
        <v>2004.2</v>
      </c>
      <c r="H22" s="528"/>
    </row>
    <row r="23" spans="1:8" x14ac:dyDescent="0.25">
      <c r="A23" s="171"/>
      <c r="B23" s="171"/>
      <c r="C23" s="523" t="s">
        <v>174</v>
      </c>
      <c r="D23" s="523"/>
      <c r="E23" s="523"/>
      <c r="F23" s="523"/>
      <c r="G23" s="528">
        <f>SUM(G19:G22)</f>
        <v>20254.2</v>
      </c>
      <c r="H23" s="528"/>
    </row>
    <row r="24" spans="1:8" x14ac:dyDescent="0.25">
      <c r="A24" s="159"/>
      <c r="B24" s="159"/>
      <c r="C24" s="172"/>
      <c r="D24" s="172"/>
      <c r="E24" s="172"/>
      <c r="F24" s="172"/>
      <c r="G24" s="173"/>
      <c r="H24" s="173"/>
    </row>
    <row r="25" spans="1:8" x14ac:dyDescent="0.25">
      <c r="A25" s="170" t="s">
        <v>175</v>
      </c>
      <c r="B25" s="171"/>
      <c r="C25" s="171"/>
      <c r="D25" s="171"/>
      <c r="E25" s="171"/>
      <c r="F25" s="171"/>
      <c r="G25" s="171"/>
      <c r="H25" s="171"/>
    </row>
    <row r="26" spans="1:8" x14ac:dyDescent="0.25">
      <c r="A26" s="509" t="s">
        <v>1</v>
      </c>
      <c r="B26" s="509"/>
      <c r="C26" s="174" t="s">
        <v>176</v>
      </c>
      <c r="D26" s="174" t="s">
        <v>177</v>
      </c>
      <c r="E26" s="509" t="s">
        <v>3</v>
      </c>
      <c r="F26" s="509"/>
      <c r="G26" s="509" t="s">
        <v>171</v>
      </c>
      <c r="H26" s="509"/>
    </row>
    <row r="27" spans="1:8" x14ac:dyDescent="0.25">
      <c r="A27" s="510" t="s">
        <v>296</v>
      </c>
      <c r="B27" s="511"/>
      <c r="C27" s="183" t="s">
        <v>93</v>
      </c>
      <c r="D27" s="231">
        <v>30000</v>
      </c>
      <c r="E27" s="603">
        <v>1.3</v>
      </c>
      <c r="F27" s="604"/>
      <c r="G27" s="514">
        <f>+D27*E27</f>
        <v>39000</v>
      </c>
      <c r="H27" s="515"/>
    </row>
    <row r="28" spans="1:8" x14ac:dyDescent="0.25">
      <c r="A28" s="527" t="s">
        <v>234</v>
      </c>
      <c r="B28" s="527"/>
      <c r="C28" s="183" t="s">
        <v>235</v>
      </c>
      <c r="D28" s="178">
        <v>40</v>
      </c>
      <c r="E28" s="603">
        <v>35</v>
      </c>
      <c r="F28" s="604"/>
      <c r="G28" s="514">
        <f>+D28*E28</f>
        <v>1400</v>
      </c>
      <c r="H28" s="515"/>
    </row>
    <row r="29" spans="1:8" x14ac:dyDescent="0.25">
      <c r="A29" s="527"/>
      <c r="B29" s="527"/>
      <c r="C29" s="183"/>
      <c r="D29" s="178"/>
      <c r="E29" s="603"/>
      <c r="F29" s="604"/>
      <c r="G29" s="514"/>
      <c r="H29" s="515"/>
    </row>
    <row r="30" spans="1:8" x14ac:dyDescent="0.25">
      <c r="A30" s="179"/>
      <c r="B30" s="179"/>
      <c r="C30" s="523" t="s">
        <v>174</v>
      </c>
      <c r="D30" s="523"/>
      <c r="E30" s="523"/>
      <c r="F30" s="523"/>
      <c r="G30" s="528">
        <f>SUM(G27:G29)</f>
        <v>40400</v>
      </c>
      <c r="H30" s="528"/>
    </row>
    <row r="31" spans="1:8" x14ac:dyDescent="0.25">
      <c r="A31" s="159"/>
      <c r="B31" s="159"/>
      <c r="C31" s="159"/>
      <c r="D31" s="159"/>
      <c r="E31" s="159"/>
      <c r="F31" s="159"/>
      <c r="G31" s="159"/>
      <c r="H31" s="159"/>
    </row>
    <row r="32" spans="1:8" x14ac:dyDescent="0.25">
      <c r="A32" s="170" t="s">
        <v>181</v>
      </c>
      <c r="B32" s="171"/>
      <c r="C32" s="171"/>
      <c r="D32" s="171"/>
      <c r="E32" s="171"/>
      <c r="F32" s="171"/>
      <c r="G32" s="171"/>
      <c r="H32" s="171"/>
    </row>
    <row r="33" spans="1:8" x14ac:dyDescent="0.25">
      <c r="A33" s="509" t="s">
        <v>182</v>
      </c>
      <c r="B33" s="509"/>
      <c r="C33" s="174" t="s">
        <v>183</v>
      </c>
      <c r="D33" s="181" t="s">
        <v>184</v>
      </c>
      <c r="E33" s="509" t="s">
        <v>185</v>
      </c>
      <c r="F33" s="509"/>
      <c r="G33" s="509" t="s">
        <v>171</v>
      </c>
      <c r="H33" s="509"/>
    </row>
    <row r="34" spans="1:8" x14ac:dyDescent="0.25">
      <c r="A34" s="510" t="str">
        <f>+A27</f>
        <v>Subase SBG-1</v>
      </c>
      <c r="B34" s="511"/>
      <c r="C34" s="189">
        <f>+E27</f>
        <v>1.3</v>
      </c>
      <c r="D34" s="189">
        <v>70</v>
      </c>
      <c r="E34" s="512">
        <v>1000</v>
      </c>
      <c r="F34" s="512"/>
      <c r="G34" s="528">
        <f>+(E34*D34)*C34</f>
        <v>91000</v>
      </c>
      <c r="H34" s="528"/>
    </row>
    <row r="35" spans="1:8" x14ac:dyDescent="0.25">
      <c r="A35" s="527"/>
      <c r="B35" s="527"/>
      <c r="C35" s="183"/>
      <c r="D35" s="183"/>
      <c r="E35" s="512"/>
      <c r="F35" s="512"/>
      <c r="G35" s="528"/>
      <c r="H35" s="528"/>
    </row>
    <row r="36" spans="1:8" x14ac:dyDescent="0.25">
      <c r="A36" s="179"/>
      <c r="B36" s="179"/>
      <c r="C36" s="523" t="s">
        <v>174</v>
      </c>
      <c r="D36" s="523"/>
      <c r="E36" s="523"/>
      <c r="F36" s="523"/>
      <c r="G36" s="528">
        <f>SUM(G34:G35)</f>
        <v>91000</v>
      </c>
      <c r="H36" s="528"/>
    </row>
    <row r="37" spans="1:8" x14ac:dyDescent="0.25">
      <c r="A37" s="159"/>
      <c r="B37" s="159"/>
      <c r="C37" s="159"/>
      <c r="D37" s="159"/>
      <c r="E37" s="159"/>
      <c r="F37" s="159"/>
      <c r="G37" s="159"/>
      <c r="H37" s="159"/>
    </row>
    <row r="38" spans="1:8" x14ac:dyDescent="0.25">
      <c r="A38" s="232" t="s">
        <v>186</v>
      </c>
      <c r="B38" s="159"/>
      <c r="C38" s="159"/>
      <c r="D38" s="159"/>
      <c r="E38" s="159"/>
      <c r="F38" s="159"/>
      <c r="G38" s="159"/>
      <c r="H38" s="159"/>
    </row>
    <row r="39" spans="1:8" x14ac:dyDescent="0.25">
      <c r="A39" s="509" t="s">
        <v>187</v>
      </c>
      <c r="B39" s="509"/>
      <c r="C39" s="174" t="s">
        <v>188</v>
      </c>
      <c r="D39" s="181" t="s">
        <v>189</v>
      </c>
      <c r="E39" s="185" t="s">
        <v>190</v>
      </c>
      <c r="F39" s="186" t="s">
        <v>170</v>
      </c>
      <c r="G39" s="509" t="s">
        <v>171</v>
      </c>
      <c r="H39" s="509"/>
    </row>
    <row r="40" spans="1:8" x14ac:dyDescent="0.25">
      <c r="A40" s="529" t="s">
        <v>201</v>
      </c>
      <c r="B40" s="530"/>
      <c r="C40" s="178">
        <v>60000</v>
      </c>
      <c r="D40" s="188">
        <v>0.85</v>
      </c>
      <c r="E40" s="178">
        <f>+C40*(1+D40)</f>
        <v>111000</v>
      </c>
      <c r="F40" s="224">
        <v>12</v>
      </c>
      <c r="G40" s="609">
        <f>E40/F40</f>
        <v>9250</v>
      </c>
      <c r="H40" s="609"/>
    </row>
    <row r="41" spans="1:8" x14ac:dyDescent="0.25">
      <c r="A41" s="531" t="s">
        <v>220</v>
      </c>
      <c r="B41" s="531"/>
      <c r="C41" s="178">
        <v>70000</v>
      </c>
      <c r="D41" s="188">
        <v>0.85</v>
      </c>
      <c r="E41" s="178">
        <f>+C41*(1+D41)</f>
        <v>129500</v>
      </c>
      <c r="F41" s="226">
        <f>+F40</f>
        <v>12</v>
      </c>
      <c r="G41" s="609">
        <f>E41/F41</f>
        <v>10791.666666666666</v>
      </c>
      <c r="H41" s="609"/>
    </row>
    <row r="42" spans="1:8" x14ac:dyDescent="0.25">
      <c r="A42" s="179"/>
      <c r="B42" s="179"/>
      <c r="C42" s="523" t="s">
        <v>174</v>
      </c>
      <c r="D42" s="523"/>
      <c r="E42" s="523"/>
      <c r="F42" s="523"/>
      <c r="G42" s="610">
        <f>ROUND(G40+G41,0)</f>
        <v>20042</v>
      </c>
      <c r="H42" s="610"/>
    </row>
    <row r="43" spans="1:8" x14ac:dyDescent="0.25">
      <c r="A43" s="159"/>
      <c r="B43" s="159"/>
      <c r="C43" s="159"/>
      <c r="D43" s="159"/>
      <c r="E43" s="159"/>
      <c r="F43" s="159"/>
      <c r="G43" s="233"/>
      <c r="H43" s="233"/>
    </row>
    <row r="44" spans="1:8" x14ac:dyDescent="0.25">
      <c r="A44" s="159"/>
      <c r="B44" s="159"/>
      <c r="C44" s="159"/>
      <c r="D44" s="159"/>
      <c r="E44" s="159"/>
      <c r="F44" s="159"/>
      <c r="G44" s="233"/>
      <c r="H44" s="233"/>
    </row>
    <row r="45" spans="1:8" x14ac:dyDescent="0.25">
      <c r="A45" s="532" t="s">
        <v>193</v>
      </c>
      <c r="B45" s="532"/>
      <c r="C45" s="532"/>
      <c r="D45" s="532"/>
      <c r="E45" s="532"/>
      <c r="F45" s="532"/>
      <c r="G45" s="608">
        <f>+ROUND(G23+G30+G36+G42,0)</f>
        <v>171696</v>
      </c>
      <c r="H45" s="608"/>
    </row>
    <row r="46" spans="1:8" x14ac:dyDescent="0.25">
      <c r="G46" s="309">
        <f>+G45</f>
        <v>171696</v>
      </c>
    </row>
  </sheetData>
  <mergeCells count="70">
    <mergeCell ref="A45:F45"/>
    <mergeCell ref="G45:H45"/>
    <mergeCell ref="A40:B40"/>
    <mergeCell ref="G40:H40"/>
    <mergeCell ref="A41:B41"/>
    <mergeCell ref="G41:H41"/>
    <mergeCell ref="C42:F42"/>
    <mergeCell ref="G42:H42"/>
    <mergeCell ref="A39:B39"/>
    <mergeCell ref="G39:H39"/>
    <mergeCell ref="C30:F30"/>
    <mergeCell ref="G30:H30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28:B28"/>
    <mergeCell ref="E28:F28"/>
    <mergeCell ref="G28:H28"/>
    <mergeCell ref="A29:B29"/>
    <mergeCell ref="E29:F29"/>
    <mergeCell ref="G29:H29"/>
    <mergeCell ref="A26:B26"/>
    <mergeCell ref="E26:F26"/>
    <mergeCell ref="G26:H26"/>
    <mergeCell ref="A27:B27"/>
    <mergeCell ref="E27:F27"/>
    <mergeCell ref="G27:H27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workbookViewId="0">
      <selection activeCell="G46" sqref="G46:H46"/>
    </sheetView>
  </sheetViews>
  <sheetFormatPr baseColWidth="10" defaultRowHeight="15" x14ac:dyDescent="0.25"/>
  <sheetData>
    <row r="1" spans="1:8" ht="15.75" thickBot="1" x14ac:dyDescent="0.3">
      <c r="A1" s="234"/>
      <c r="B1" s="234"/>
      <c r="C1" s="234"/>
      <c r="D1" s="234"/>
      <c r="E1" s="234"/>
      <c r="F1" s="234"/>
      <c r="G1" s="234"/>
      <c r="H1" s="234"/>
    </row>
    <row r="2" spans="1:8" ht="18" x14ac:dyDescent="0.25">
      <c r="A2" s="611"/>
      <c r="B2" s="612"/>
      <c r="C2" s="617" t="s">
        <v>160</v>
      </c>
      <c r="D2" s="618"/>
      <c r="E2" s="618"/>
      <c r="F2" s="619"/>
      <c r="G2" s="611"/>
      <c r="H2" s="612"/>
    </row>
    <row r="3" spans="1:8" x14ac:dyDescent="0.25">
      <c r="A3" s="613"/>
      <c r="B3" s="614"/>
      <c r="C3" s="620" t="s">
        <v>85</v>
      </c>
      <c r="D3" s="621"/>
      <c r="E3" s="621"/>
      <c r="F3" s="622"/>
      <c r="G3" s="613"/>
      <c r="H3" s="614"/>
    </row>
    <row r="4" spans="1:8" x14ac:dyDescent="0.25">
      <c r="A4" s="613"/>
      <c r="B4" s="614"/>
      <c r="C4" s="235"/>
      <c r="D4" s="236"/>
      <c r="E4" s="236"/>
      <c r="F4" s="237"/>
      <c r="G4" s="613"/>
      <c r="H4" s="614"/>
    </row>
    <row r="5" spans="1:8" x14ac:dyDescent="0.25">
      <c r="A5" s="613"/>
      <c r="B5" s="614"/>
      <c r="C5" s="620" t="s">
        <v>161</v>
      </c>
      <c r="D5" s="621"/>
      <c r="E5" s="621"/>
      <c r="F5" s="622"/>
      <c r="G5" s="613"/>
      <c r="H5" s="614"/>
    </row>
    <row r="6" spans="1:8" x14ac:dyDescent="0.25">
      <c r="A6" s="613"/>
      <c r="B6" s="614"/>
      <c r="C6" s="620" t="s">
        <v>162</v>
      </c>
      <c r="D6" s="621"/>
      <c r="E6" s="621"/>
      <c r="F6" s="622"/>
      <c r="G6" s="613"/>
      <c r="H6" s="614"/>
    </row>
    <row r="7" spans="1:8" ht="15.75" thickBot="1" x14ac:dyDescent="0.3">
      <c r="A7" s="615"/>
      <c r="B7" s="616"/>
      <c r="C7" s="238"/>
      <c r="D7" s="239"/>
      <c r="E7" s="239"/>
      <c r="F7" s="240"/>
      <c r="G7" s="615"/>
      <c r="H7" s="616"/>
    </row>
    <row r="8" spans="1:8" x14ac:dyDescent="0.25">
      <c r="A8" s="234"/>
      <c r="B8" s="234"/>
      <c r="C8" s="234"/>
      <c r="D8" s="234"/>
      <c r="E8" s="234"/>
      <c r="F8" s="234"/>
      <c r="G8" s="234"/>
      <c r="H8" s="234"/>
    </row>
    <row r="9" spans="1:8" ht="15.75" thickBot="1" x14ac:dyDescent="0.3">
      <c r="A9" s="623" t="s">
        <v>163</v>
      </c>
      <c r="B9" s="623"/>
      <c r="C9" s="623"/>
      <c r="D9" s="623"/>
      <c r="E9" s="623"/>
      <c r="F9" s="623"/>
      <c r="G9" s="623"/>
      <c r="H9" s="623"/>
    </row>
    <row r="10" spans="1:8" ht="15.75" thickBot="1" x14ac:dyDescent="0.3">
      <c r="A10" s="241"/>
      <c r="B10" s="241"/>
      <c r="C10" s="241"/>
      <c r="D10" s="241"/>
      <c r="E10" s="241"/>
      <c r="F10" s="241"/>
      <c r="G10" s="497" t="s">
        <v>274</v>
      </c>
      <c r="H10" s="498"/>
    </row>
    <row r="11" spans="1:8" ht="15.75" thickBot="1" x14ac:dyDescent="0.3">
      <c r="A11" s="234"/>
      <c r="B11" s="234"/>
      <c r="C11" s="234"/>
      <c r="D11" s="234"/>
      <c r="E11" s="234"/>
      <c r="F11" s="234"/>
      <c r="G11" s="234"/>
      <c r="H11" s="234"/>
    </row>
    <row r="12" spans="1:8" ht="52.5" customHeight="1" x14ac:dyDescent="0.25">
      <c r="A12" s="407" t="s">
        <v>428</v>
      </c>
      <c r="B12" s="408"/>
      <c r="C12" s="408"/>
      <c r="D12" s="408"/>
      <c r="E12" s="408"/>
      <c r="F12" s="408"/>
      <c r="G12" s="408"/>
      <c r="H12" s="409"/>
    </row>
    <row r="13" spans="1:8" x14ac:dyDescent="0.25">
      <c r="A13" s="410"/>
      <c r="B13" s="411"/>
      <c r="C13" s="411"/>
      <c r="D13" s="411"/>
      <c r="E13" s="411"/>
      <c r="F13" s="411"/>
      <c r="G13" s="411"/>
      <c r="H13" s="412"/>
    </row>
    <row r="14" spans="1:8" ht="15.75" thickBot="1" x14ac:dyDescent="0.3">
      <c r="A14" s="413"/>
      <c r="B14" s="414"/>
      <c r="C14" s="414"/>
      <c r="D14" s="414"/>
      <c r="E14" s="414"/>
      <c r="F14" s="414"/>
      <c r="G14" s="414"/>
      <c r="H14" s="415"/>
    </row>
    <row r="15" spans="1:8" ht="15.75" thickBot="1" x14ac:dyDescent="0.3">
      <c r="A15" s="242"/>
      <c r="B15" s="234"/>
      <c r="C15" s="234"/>
      <c r="D15" s="234"/>
      <c r="E15" s="234"/>
      <c r="F15" s="234"/>
      <c r="G15" s="234"/>
      <c r="H15" s="234"/>
    </row>
    <row r="16" spans="1:8" x14ac:dyDescent="0.25">
      <c r="A16" s="624" t="s">
        <v>357</v>
      </c>
      <c r="B16" s="627" t="s">
        <v>297</v>
      </c>
      <c r="C16" s="628"/>
      <c r="D16" s="628"/>
      <c r="E16" s="628"/>
      <c r="F16" s="629"/>
      <c r="G16" s="624" t="s">
        <v>250</v>
      </c>
      <c r="H16" s="636" t="s">
        <v>167</v>
      </c>
    </row>
    <row r="17" spans="1:8" x14ac:dyDescent="0.25">
      <c r="A17" s="625"/>
      <c r="B17" s="630"/>
      <c r="C17" s="631"/>
      <c r="D17" s="631"/>
      <c r="E17" s="631"/>
      <c r="F17" s="632"/>
      <c r="G17" s="625"/>
      <c r="H17" s="637"/>
    </row>
    <row r="18" spans="1:8" ht="15.75" thickBot="1" x14ac:dyDescent="0.3">
      <c r="A18" s="626"/>
      <c r="B18" s="633"/>
      <c r="C18" s="634"/>
      <c r="D18" s="634"/>
      <c r="E18" s="634"/>
      <c r="F18" s="635"/>
      <c r="G18" s="626"/>
      <c r="H18" s="638"/>
    </row>
    <row r="19" spans="1:8" x14ac:dyDescent="0.25">
      <c r="A19" s="243" t="s">
        <v>168</v>
      </c>
      <c r="B19" s="244"/>
      <c r="C19" s="244"/>
      <c r="D19" s="244"/>
      <c r="E19" s="244"/>
      <c r="F19" s="244"/>
      <c r="G19" s="244"/>
      <c r="H19" s="244"/>
    </row>
    <row r="20" spans="1:8" x14ac:dyDescent="0.25">
      <c r="A20" s="639" t="s">
        <v>1</v>
      </c>
      <c r="B20" s="639"/>
      <c r="C20" s="639" t="s">
        <v>169</v>
      </c>
      <c r="D20" s="639"/>
      <c r="E20" s="639" t="s">
        <v>170</v>
      </c>
      <c r="F20" s="639"/>
      <c r="G20" s="639" t="s">
        <v>171</v>
      </c>
      <c r="H20" s="639"/>
    </row>
    <row r="21" spans="1:8" ht="16.5" x14ac:dyDescent="0.3">
      <c r="A21" s="640" t="s">
        <v>298</v>
      </c>
      <c r="B21" s="641"/>
      <c r="C21" s="642">
        <v>25000</v>
      </c>
      <c r="D21" s="642"/>
      <c r="E21" s="643">
        <v>100</v>
      </c>
      <c r="F21" s="644"/>
      <c r="G21" s="645">
        <f>+C21/E21</f>
        <v>250</v>
      </c>
      <c r="H21" s="646"/>
    </row>
    <row r="22" spans="1:8" ht="24" customHeight="1" x14ac:dyDescent="0.3">
      <c r="A22" s="647" t="s">
        <v>299</v>
      </c>
      <c r="B22" s="648"/>
      <c r="C22" s="642">
        <v>150000</v>
      </c>
      <c r="D22" s="642"/>
      <c r="E22" s="643">
        <f>+E21</f>
        <v>100</v>
      </c>
      <c r="F22" s="644"/>
      <c r="G22" s="645">
        <f>+C22/E22</f>
        <v>1500</v>
      </c>
      <c r="H22" s="646"/>
    </row>
    <row r="23" spans="1:8" ht="16.5" x14ac:dyDescent="0.3">
      <c r="A23" s="640" t="s">
        <v>285</v>
      </c>
      <c r="B23" s="641"/>
      <c r="C23" s="649">
        <v>90000</v>
      </c>
      <c r="D23" s="649"/>
      <c r="E23" s="643">
        <f>+E22</f>
        <v>100</v>
      </c>
      <c r="F23" s="644"/>
      <c r="G23" s="645">
        <f>+C23/E23</f>
        <v>900</v>
      </c>
      <c r="H23" s="646"/>
    </row>
    <row r="24" spans="1:8" x14ac:dyDescent="0.25">
      <c r="A24" s="529" t="s">
        <v>173</v>
      </c>
      <c r="B24" s="530"/>
      <c r="C24" s="650"/>
      <c r="D24" s="650"/>
      <c r="E24" s="651">
        <v>0.1</v>
      </c>
      <c r="F24" s="651"/>
      <c r="G24" s="645">
        <f>+E24*G43</f>
        <v>22</v>
      </c>
      <c r="H24" s="646"/>
    </row>
    <row r="25" spans="1:8" x14ac:dyDescent="0.25">
      <c r="A25" s="244"/>
      <c r="B25" s="244"/>
      <c r="C25" s="639" t="s">
        <v>174</v>
      </c>
      <c r="D25" s="639"/>
      <c r="E25" s="639"/>
      <c r="F25" s="639"/>
      <c r="G25" s="652">
        <f>ROUND(SUM(G21:H24),0)</f>
        <v>2672</v>
      </c>
      <c r="H25" s="653"/>
    </row>
    <row r="26" spans="1:8" x14ac:dyDescent="0.25">
      <c r="A26" s="244"/>
      <c r="B26" s="244"/>
      <c r="C26" s="245"/>
      <c r="D26" s="245"/>
      <c r="E26" s="245"/>
      <c r="F26" s="245"/>
      <c r="G26" s="246"/>
      <c r="H26" s="246"/>
    </row>
    <row r="27" spans="1:8" x14ac:dyDescent="0.25">
      <c r="A27" s="247" t="s">
        <v>175</v>
      </c>
      <c r="B27" s="244"/>
      <c r="C27" s="244"/>
      <c r="D27" s="244"/>
      <c r="E27" s="244"/>
      <c r="F27" s="244"/>
      <c r="G27" s="244"/>
      <c r="H27" s="244"/>
    </row>
    <row r="28" spans="1:8" x14ac:dyDescent="0.25">
      <c r="A28" s="639" t="s">
        <v>1</v>
      </c>
      <c r="B28" s="639"/>
      <c r="C28" s="248" t="s">
        <v>176</v>
      </c>
      <c r="D28" s="248" t="s">
        <v>177</v>
      </c>
      <c r="E28" s="639" t="s">
        <v>3</v>
      </c>
      <c r="F28" s="639"/>
      <c r="G28" s="654" t="s">
        <v>171</v>
      </c>
      <c r="H28" s="655"/>
    </row>
    <row r="29" spans="1:8" x14ac:dyDescent="0.25">
      <c r="A29" s="585"/>
      <c r="B29" s="586"/>
      <c r="C29" s="249"/>
      <c r="D29" s="250"/>
      <c r="E29" s="656"/>
      <c r="F29" s="657"/>
      <c r="G29" s="645"/>
      <c r="H29" s="646"/>
    </row>
    <row r="30" spans="1:8" x14ac:dyDescent="0.25">
      <c r="A30" s="640"/>
      <c r="B30" s="641"/>
      <c r="C30" s="251"/>
      <c r="D30" s="213"/>
      <c r="E30" s="658"/>
      <c r="F30" s="659"/>
      <c r="G30" s="660"/>
      <c r="H30" s="661"/>
    </row>
    <row r="31" spans="1:8" x14ac:dyDescent="0.25">
      <c r="A31" s="252"/>
      <c r="B31" s="252"/>
      <c r="C31" s="639" t="s">
        <v>174</v>
      </c>
      <c r="D31" s="639"/>
      <c r="E31" s="639"/>
      <c r="F31" s="639"/>
      <c r="G31" s="652">
        <f>SUM(G29:H30)</f>
        <v>0</v>
      </c>
      <c r="H31" s="653"/>
    </row>
    <row r="32" spans="1:8" x14ac:dyDescent="0.25">
      <c r="A32" s="244"/>
      <c r="B32" s="244"/>
      <c r="C32" s="244"/>
      <c r="D32" s="244"/>
      <c r="E32" s="244"/>
      <c r="F32" s="244"/>
      <c r="G32" s="244"/>
      <c r="H32" s="244"/>
    </row>
    <row r="33" spans="1:8" x14ac:dyDescent="0.25">
      <c r="A33" s="247" t="s">
        <v>181</v>
      </c>
      <c r="B33" s="244"/>
      <c r="C33" s="244"/>
      <c r="D33" s="244"/>
      <c r="E33" s="244"/>
      <c r="F33" s="244"/>
      <c r="G33" s="244"/>
      <c r="H33" s="244"/>
    </row>
    <row r="34" spans="1:8" x14ac:dyDescent="0.25">
      <c r="A34" s="639" t="s">
        <v>182</v>
      </c>
      <c r="B34" s="639"/>
      <c r="C34" s="248" t="s">
        <v>183</v>
      </c>
      <c r="D34" s="253" t="s">
        <v>184</v>
      </c>
      <c r="E34" s="639" t="s">
        <v>185</v>
      </c>
      <c r="F34" s="639"/>
      <c r="G34" s="654" t="s">
        <v>171</v>
      </c>
      <c r="H34" s="655"/>
    </row>
    <row r="35" spans="1:8" x14ac:dyDescent="0.25">
      <c r="A35" s="597" t="s">
        <v>300</v>
      </c>
      <c r="B35" s="598"/>
      <c r="C35" s="249">
        <f>0.3*1.3</f>
        <v>0.39</v>
      </c>
      <c r="D35" s="249">
        <v>10</v>
      </c>
      <c r="E35" s="650">
        <v>1000</v>
      </c>
      <c r="F35" s="650"/>
      <c r="G35" s="645">
        <f>+C35*D35*E35</f>
        <v>3900.0000000000005</v>
      </c>
      <c r="H35" s="646"/>
    </row>
    <row r="36" spans="1:8" x14ac:dyDescent="0.25">
      <c r="A36" s="531"/>
      <c r="B36" s="531"/>
      <c r="C36" s="249"/>
      <c r="D36" s="249"/>
      <c r="E36" s="650"/>
      <c r="F36" s="650"/>
      <c r="G36" s="645"/>
      <c r="H36" s="646"/>
    </row>
    <row r="37" spans="1:8" x14ac:dyDescent="0.25">
      <c r="A37" s="252"/>
      <c r="B37" s="252"/>
      <c r="C37" s="639" t="s">
        <v>174</v>
      </c>
      <c r="D37" s="639"/>
      <c r="E37" s="639"/>
      <c r="F37" s="639"/>
      <c r="G37" s="652">
        <f>SUM(G35:G36)</f>
        <v>3900.0000000000005</v>
      </c>
      <c r="H37" s="653"/>
    </row>
    <row r="38" spans="1:8" x14ac:dyDescent="0.25">
      <c r="A38" s="244"/>
      <c r="B38" s="244"/>
      <c r="C38" s="244"/>
      <c r="D38" s="244"/>
      <c r="E38" s="244"/>
      <c r="F38" s="244"/>
      <c r="G38" s="244"/>
      <c r="H38" s="244"/>
    </row>
    <row r="39" spans="1:8" x14ac:dyDescent="0.25">
      <c r="A39" s="247" t="s">
        <v>186</v>
      </c>
      <c r="B39" s="244"/>
      <c r="C39" s="244"/>
      <c r="D39" s="244"/>
      <c r="E39" s="244"/>
      <c r="F39" s="244"/>
      <c r="G39" s="244"/>
      <c r="H39" s="244"/>
    </row>
    <row r="40" spans="1:8" x14ac:dyDescent="0.25">
      <c r="A40" s="639" t="s">
        <v>187</v>
      </c>
      <c r="B40" s="639"/>
      <c r="C40" s="254" t="s">
        <v>188</v>
      </c>
      <c r="D40" s="253" t="s">
        <v>189</v>
      </c>
      <c r="E40" s="248" t="s">
        <v>190</v>
      </c>
      <c r="F40" s="253" t="s">
        <v>170</v>
      </c>
      <c r="G40" s="654" t="s">
        <v>171</v>
      </c>
      <c r="H40" s="655"/>
    </row>
    <row r="41" spans="1:8" x14ac:dyDescent="0.25">
      <c r="A41" s="529" t="s">
        <v>201</v>
      </c>
      <c r="B41" s="530"/>
      <c r="C41" s="255">
        <v>60000</v>
      </c>
      <c r="D41" s="256">
        <v>0.85</v>
      </c>
      <c r="E41" s="255">
        <f>+C41*(1+D41)</f>
        <v>111000</v>
      </c>
      <c r="F41" s="249">
        <f>+E23*8</f>
        <v>800</v>
      </c>
      <c r="G41" s="645">
        <f>+E41/F41</f>
        <v>138.75</v>
      </c>
      <c r="H41" s="646"/>
    </row>
    <row r="42" spans="1:8" x14ac:dyDescent="0.25">
      <c r="A42" s="531" t="s">
        <v>207</v>
      </c>
      <c r="B42" s="531"/>
      <c r="C42" s="255">
        <v>35000</v>
      </c>
      <c r="D42" s="256">
        <v>0.85</v>
      </c>
      <c r="E42" s="255">
        <f>+C42*(1+D42)</f>
        <v>64750</v>
      </c>
      <c r="F42" s="249">
        <f>+F41</f>
        <v>800</v>
      </c>
      <c r="G42" s="645">
        <f>+E42/F42</f>
        <v>80.9375</v>
      </c>
      <c r="H42" s="646"/>
    </row>
    <row r="43" spans="1:8" x14ac:dyDescent="0.25">
      <c r="A43" s="252"/>
      <c r="B43" s="252"/>
      <c r="C43" s="639" t="s">
        <v>174</v>
      </c>
      <c r="D43" s="639"/>
      <c r="E43" s="639"/>
      <c r="F43" s="639"/>
      <c r="G43" s="652">
        <f>ROUND(SUM(G41:H42),0)</f>
        <v>220</v>
      </c>
      <c r="H43" s="653"/>
    </row>
    <row r="44" spans="1:8" x14ac:dyDescent="0.25">
      <c r="A44" s="244"/>
      <c r="B44" s="244"/>
      <c r="C44" s="244"/>
      <c r="D44" s="244"/>
      <c r="E44" s="244"/>
      <c r="F44" s="244"/>
      <c r="G44" s="257"/>
      <c r="H44" s="257"/>
    </row>
    <row r="45" spans="1:8" x14ac:dyDescent="0.25">
      <c r="A45" s="244"/>
      <c r="B45" s="244"/>
      <c r="C45" s="244"/>
      <c r="D45" s="244"/>
      <c r="E45" s="244"/>
      <c r="F45" s="244"/>
      <c r="G45" s="257"/>
      <c r="H45" s="257"/>
    </row>
    <row r="46" spans="1:8" x14ac:dyDescent="0.25">
      <c r="A46" s="662" t="s">
        <v>193</v>
      </c>
      <c r="B46" s="662"/>
      <c r="C46" s="662"/>
      <c r="D46" s="662"/>
      <c r="E46" s="662"/>
      <c r="F46" s="662"/>
      <c r="G46" s="663">
        <f>+ROUND(G25+G31+G37+G43,0)</f>
        <v>6792</v>
      </c>
      <c r="H46" s="664"/>
    </row>
    <row r="47" spans="1:8" x14ac:dyDescent="0.25">
      <c r="G47" s="309">
        <f>+G46</f>
        <v>6792</v>
      </c>
    </row>
  </sheetData>
  <mergeCells count="67">
    <mergeCell ref="A42:B42"/>
    <mergeCell ref="G42:H42"/>
    <mergeCell ref="C43:F43"/>
    <mergeCell ref="G43:H43"/>
    <mergeCell ref="A46:F46"/>
    <mergeCell ref="G46:H46"/>
    <mergeCell ref="C37:F37"/>
    <mergeCell ref="G37:H37"/>
    <mergeCell ref="A40:B40"/>
    <mergeCell ref="G40:H40"/>
    <mergeCell ref="A41:B41"/>
    <mergeCell ref="G41:H41"/>
    <mergeCell ref="A35:B35"/>
    <mergeCell ref="E35:F35"/>
    <mergeCell ref="G35:H35"/>
    <mergeCell ref="A36:B36"/>
    <mergeCell ref="E36:F36"/>
    <mergeCell ref="G36:H36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C31:F31"/>
    <mergeCell ref="G31:H31"/>
    <mergeCell ref="A24:B24"/>
    <mergeCell ref="C24:D24"/>
    <mergeCell ref="E24:F24"/>
    <mergeCell ref="G24:H24"/>
    <mergeCell ref="C25:F25"/>
    <mergeCell ref="G25:H25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9:H9"/>
    <mergeCell ref="G10:H10"/>
    <mergeCell ref="A12:H14"/>
    <mergeCell ref="A16:A18"/>
    <mergeCell ref="B16:F18"/>
    <mergeCell ref="G16:G18"/>
    <mergeCell ref="H16:H18"/>
    <mergeCell ref="A2:B7"/>
    <mergeCell ref="C2:F2"/>
    <mergeCell ref="G2:H7"/>
    <mergeCell ref="C3:F3"/>
    <mergeCell ref="C5:F5"/>
    <mergeCell ref="C6:F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workbookViewId="0">
      <selection activeCell="G44" sqref="G44:H44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59"/>
      <c r="F10" s="159"/>
      <c r="G10" s="159"/>
      <c r="H10" s="159"/>
    </row>
    <row r="11" spans="1:8" ht="54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x14ac:dyDescent="0.25">
      <c r="A15" s="505" t="s">
        <v>358</v>
      </c>
      <c r="B15" s="665" t="s">
        <v>301</v>
      </c>
      <c r="C15" s="666"/>
      <c r="D15" s="666"/>
      <c r="E15" s="666"/>
      <c r="F15" s="667"/>
      <c r="G15" s="505" t="s">
        <v>250</v>
      </c>
      <c r="H15" s="507" t="s">
        <v>93</v>
      </c>
    </row>
    <row r="16" spans="1:8" ht="15.75" thickBot="1" x14ac:dyDescent="0.3">
      <c r="A16" s="506"/>
      <c r="B16" s="668"/>
      <c r="C16" s="669"/>
      <c r="D16" s="669"/>
      <c r="E16" s="669"/>
      <c r="F16" s="670"/>
      <c r="G16" s="506"/>
      <c r="H16" s="508"/>
    </row>
    <row r="17" spans="1:8" x14ac:dyDescent="0.25">
      <c r="A17" s="170" t="s">
        <v>168</v>
      </c>
      <c r="B17" s="159"/>
      <c r="C17" s="159"/>
      <c r="D17" s="159"/>
      <c r="E17" s="159"/>
      <c r="F17" s="159"/>
      <c r="G17" s="159"/>
      <c r="H17" s="159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510" t="s">
        <v>302</v>
      </c>
      <c r="B19" s="511"/>
      <c r="C19" s="512">
        <v>150000</v>
      </c>
      <c r="D19" s="512"/>
      <c r="E19" s="671">
        <v>20</v>
      </c>
      <c r="F19" s="671"/>
      <c r="G19" s="514">
        <f>+C19/E19</f>
        <v>7500</v>
      </c>
      <c r="H19" s="515"/>
    </row>
    <row r="20" spans="1:8" x14ac:dyDescent="0.25">
      <c r="A20" s="510" t="s">
        <v>173</v>
      </c>
      <c r="B20" s="511"/>
      <c r="C20" s="512"/>
      <c r="D20" s="512"/>
      <c r="E20" s="521">
        <v>0.1</v>
      </c>
      <c r="F20" s="522"/>
      <c r="G20" s="514">
        <f>ROUND(E20*G41,0)</f>
        <v>88</v>
      </c>
      <c r="H20" s="515"/>
    </row>
    <row r="21" spans="1:8" x14ac:dyDescent="0.25">
      <c r="A21" s="171"/>
      <c r="B21" s="171"/>
      <c r="C21" s="523" t="s">
        <v>174</v>
      </c>
      <c r="D21" s="523"/>
      <c r="E21" s="523"/>
      <c r="F21" s="523"/>
      <c r="G21" s="524">
        <f>SUM(G19:H20)</f>
        <v>7588</v>
      </c>
      <c r="H21" s="524"/>
    </row>
    <row r="22" spans="1:8" x14ac:dyDescent="0.25">
      <c r="A22" s="159"/>
      <c r="B22" s="159"/>
      <c r="C22" s="172"/>
      <c r="D22" s="172"/>
      <c r="E22" s="172"/>
      <c r="F22" s="172"/>
      <c r="G22" s="173"/>
      <c r="H22" s="173"/>
    </row>
    <row r="23" spans="1:8" x14ac:dyDescent="0.25">
      <c r="A23" s="170" t="s">
        <v>175</v>
      </c>
      <c r="B23" s="171"/>
      <c r="C23" s="171"/>
      <c r="D23" s="171"/>
      <c r="E23" s="171"/>
      <c r="F23" s="171"/>
      <c r="G23" s="171"/>
      <c r="H23" s="171"/>
    </row>
    <row r="24" spans="1:8" x14ac:dyDescent="0.25">
      <c r="A24" s="509" t="s">
        <v>1</v>
      </c>
      <c r="B24" s="509"/>
      <c r="C24" s="174" t="s">
        <v>176</v>
      </c>
      <c r="D24" s="174" t="s">
        <v>177</v>
      </c>
      <c r="E24" s="509" t="s">
        <v>3</v>
      </c>
      <c r="F24" s="509"/>
      <c r="G24" s="509" t="s">
        <v>171</v>
      </c>
      <c r="H24" s="509"/>
    </row>
    <row r="25" spans="1:8" x14ac:dyDescent="0.25">
      <c r="A25" s="516"/>
      <c r="B25" s="517"/>
      <c r="C25" s="177"/>
      <c r="D25" s="176"/>
      <c r="E25" s="526"/>
      <c r="F25" s="526"/>
      <c r="G25" s="514"/>
      <c r="H25" s="515"/>
    </row>
    <row r="26" spans="1:8" x14ac:dyDescent="0.25">
      <c r="A26" s="516"/>
      <c r="B26" s="517"/>
      <c r="C26" s="177"/>
      <c r="D26" s="178"/>
      <c r="E26" s="526"/>
      <c r="F26" s="526"/>
      <c r="G26" s="514"/>
      <c r="H26" s="515"/>
    </row>
    <row r="27" spans="1:8" x14ac:dyDescent="0.25">
      <c r="A27" s="516"/>
      <c r="B27" s="517"/>
      <c r="C27" s="177"/>
      <c r="D27" s="178"/>
      <c r="E27" s="526"/>
      <c r="F27" s="526"/>
      <c r="G27" s="514"/>
      <c r="H27" s="515"/>
    </row>
    <row r="28" spans="1:8" x14ac:dyDescent="0.25">
      <c r="A28" s="179"/>
      <c r="B28" s="179"/>
      <c r="C28" s="523" t="s">
        <v>174</v>
      </c>
      <c r="D28" s="523"/>
      <c r="E28" s="523"/>
      <c r="F28" s="523"/>
      <c r="G28" s="524">
        <f>SUM(G25:H27)</f>
        <v>0</v>
      </c>
      <c r="H28" s="524"/>
    </row>
    <row r="29" spans="1:8" x14ac:dyDescent="0.25">
      <c r="A29" s="159"/>
      <c r="B29" s="159"/>
      <c r="C29" s="159"/>
      <c r="D29" s="159"/>
      <c r="E29" s="159"/>
      <c r="F29" s="159"/>
      <c r="G29" s="159"/>
      <c r="H29" s="159"/>
    </row>
    <row r="30" spans="1:8" x14ac:dyDescent="0.25">
      <c r="A30" s="170" t="s">
        <v>181</v>
      </c>
      <c r="B30" s="171"/>
      <c r="C30" s="171"/>
      <c r="D30" s="171"/>
      <c r="E30" s="171"/>
      <c r="F30" s="171"/>
      <c r="G30" s="171"/>
      <c r="H30" s="171"/>
    </row>
    <row r="31" spans="1:8" x14ac:dyDescent="0.25">
      <c r="A31" s="509" t="s">
        <v>182</v>
      </c>
      <c r="B31" s="509"/>
      <c r="C31" s="180" t="s">
        <v>183</v>
      </c>
      <c r="D31" s="181" t="s">
        <v>184</v>
      </c>
      <c r="E31" s="174" t="s">
        <v>269</v>
      </c>
      <c r="F31" s="174" t="s">
        <v>270</v>
      </c>
      <c r="G31" s="509" t="s">
        <v>171</v>
      </c>
      <c r="H31" s="509"/>
    </row>
    <row r="32" spans="1:8" x14ac:dyDescent="0.25">
      <c r="A32" s="672" t="s">
        <v>303</v>
      </c>
      <c r="B32" s="672"/>
      <c r="C32" s="258">
        <v>1</v>
      </c>
      <c r="D32" s="259">
        <v>2</v>
      </c>
      <c r="E32" s="260">
        <f>+C32*D32</f>
        <v>2</v>
      </c>
      <c r="F32" s="260">
        <v>1000</v>
      </c>
      <c r="G32" s="673">
        <f>+F32*E32</f>
        <v>2000</v>
      </c>
      <c r="H32" s="673"/>
    </row>
    <row r="33" spans="1:8" x14ac:dyDescent="0.25">
      <c r="A33" s="672"/>
      <c r="B33" s="672"/>
      <c r="C33" s="261"/>
      <c r="D33" s="259"/>
      <c r="E33" s="260"/>
      <c r="F33" s="260"/>
      <c r="G33" s="673">
        <f>+F33*E33</f>
        <v>0</v>
      </c>
      <c r="H33" s="673"/>
    </row>
    <row r="34" spans="1:8" x14ac:dyDescent="0.25">
      <c r="A34" s="672"/>
      <c r="B34" s="672"/>
      <c r="C34" s="261"/>
      <c r="D34" s="259"/>
      <c r="E34" s="260"/>
      <c r="F34" s="260"/>
      <c r="G34" s="673">
        <f>+F34*E34</f>
        <v>0</v>
      </c>
      <c r="H34" s="673"/>
    </row>
    <row r="35" spans="1:8" x14ac:dyDescent="0.25">
      <c r="A35" s="179"/>
      <c r="B35" s="179"/>
      <c r="C35" s="523" t="s">
        <v>174</v>
      </c>
      <c r="D35" s="523"/>
      <c r="E35" s="523"/>
      <c r="F35" s="523"/>
      <c r="G35" s="524">
        <f>SUM(G32:H34)</f>
        <v>2000</v>
      </c>
      <c r="H35" s="524"/>
    </row>
    <row r="36" spans="1:8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x14ac:dyDescent="0.25">
      <c r="A37" s="170" t="s">
        <v>186</v>
      </c>
      <c r="B37" s="171"/>
      <c r="C37" s="171"/>
      <c r="D37" s="171"/>
      <c r="E37" s="171"/>
      <c r="F37" s="171"/>
      <c r="G37" s="171"/>
      <c r="H37" s="171"/>
    </row>
    <row r="38" spans="1:8" x14ac:dyDescent="0.25">
      <c r="A38" s="509" t="s">
        <v>187</v>
      </c>
      <c r="B38" s="509"/>
      <c r="C38" s="174" t="s">
        <v>188</v>
      </c>
      <c r="D38" s="181" t="s">
        <v>189</v>
      </c>
      <c r="E38" s="185" t="s">
        <v>190</v>
      </c>
      <c r="F38" s="186" t="s">
        <v>170</v>
      </c>
      <c r="G38" s="509" t="s">
        <v>171</v>
      </c>
      <c r="H38" s="509"/>
    </row>
    <row r="39" spans="1:8" x14ac:dyDescent="0.25">
      <c r="A39" s="510" t="s">
        <v>201</v>
      </c>
      <c r="B39" s="511"/>
      <c r="C39" s="178">
        <v>60000</v>
      </c>
      <c r="D39" s="188">
        <v>1.85</v>
      </c>
      <c r="E39" s="178">
        <f>+C39*D39</f>
        <v>111000</v>
      </c>
      <c r="F39" s="226">
        <v>200</v>
      </c>
      <c r="G39" s="528">
        <f>+ROUND(E39/F39,0)</f>
        <v>555</v>
      </c>
      <c r="H39" s="528"/>
    </row>
    <row r="40" spans="1:8" x14ac:dyDescent="0.25">
      <c r="A40" s="527" t="s">
        <v>207</v>
      </c>
      <c r="B40" s="527"/>
      <c r="C40" s="178">
        <v>35000</v>
      </c>
      <c r="D40" s="188">
        <v>1.85</v>
      </c>
      <c r="E40" s="178">
        <f>+C40*D40</f>
        <v>64750</v>
      </c>
      <c r="F40" s="226">
        <f>F39</f>
        <v>200</v>
      </c>
      <c r="G40" s="528">
        <f>+ROUND(E40/F40,0)</f>
        <v>324</v>
      </c>
      <c r="H40" s="528"/>
    </row>
    <row r="41" spans="1:8" x14ac:dyDescent="0.25">
      <c r="A41" s="179"/>
      <c r="B41" s="179"/>
      <c r="C41" s="523" t="s">
        <v>174</v>
      </c>
      <c r="D41" s="523"/>
      <c r="E41" s="523"/>
      <c r="F41" s="523"/>
      <c r="G41" s="524">
        <f>SUM(G39:H40)</f>
        <v>879</v>
      </c>
      <c r="H41" s="524"/>
    </row>
    <row r="42" spans="1:8" x14ac:dyDescent="0.25">
      <c r="A42" s="159"/>
      <c r="B42" s="159"/>
      <c r="C42" s="159"/>
      <c r="D42" s="159"/>
      <c r="E42" s="159"/>
      <c r="F42" s="159"/>
      <c r="G42" s="159"/>
      <c r="H42" s="159"/>
    </row>
    <row r="43" spans="1:8" x14ac:dyDescent="0.25">
      <c r="A43" s="159"/>
      <c r="B43" s="159"/>
      <c r="C43" s="159"/>
      <c r="D43" s="159"/>
      <c r="E43" s="159"/>
      <c r="F43" s="159"/>
      <c r="G43" s="159"/>
      <c r="H43" s="159"/>
    </row>
    <row r="44" spans="1:8" x14ac:dyDescent="0.25">
      <c r="A44" s="532" t="s">
        <v>193</v>
      </c>
      <c r="B44" s="532"/>
      <c r="C44" s="532"/>
      <c r="D44" s="532"/>
      <c r="E44" s="532"/>
      <c r="F44" s="532"/>
      <c r="G44" s="533">
        <f>+ROUND(G21+G28+G35+G41,0)</f>
        <v>10467</v>
      </c>
      <c r="H44" s="534"/>
    </row>
    <row r="45" spans="1:8" x14ac:dyDescent="0.25">
      <c r="G45" s="309">
        <f>+G44</f>
        <v>10467</v>
      </c>
    </row>
  </sheetData>
  <mergeCells count="61">
    <mergeCell ref="C41:F41"/>
    <mergeCell ref="G41:H41"/>
    <mergeCell ref="A44:F44"/>
    <mergeCell ref="G44:H44"/>
    <mergeCell ref="A38:B38"/>
    <mergeCell ref="G38:H38"/>
    <mergeCell ref="A39:B39"/>
    <mergeCell ref="G39:H39"/>
    <mergeCell ref="A40:B40"/>
    <mergeCell ref="G40:H40"/>
    <mergeCell ref="A33:B33"/>
    <mergeCell ref="G33:H33"/>
    <mergeCell ref="A34:B34"/>
    <mergeCell ref="G34:H34"/>
    <mergeCell ref="C35:F35"/>
    <mergeCell ref="G35:H35"/>
    <mergeCell ref="C28:F28"/>
    <mergeCell ref="G28:H28"/>
    <mergeCell ref="A31:B31"/>
    <mergeCell ref="G31:H31"/>
    <mergeCell ref="A32:B32"/>
    <mergeCell ref="G32:H32"/>
    <mergeCell ref="A26:B26"/>
    <mergeCell ref="E26:F26"/>
    <mergeCell ref="G26:H26"/>
    <mergeCell ref="A27:B27"/>
    <mergeCell ref="E27:F27"/>
    <mergeCell ref="G27:H27"/>
    <mergeCell ref="A24:B24"/>
    <mergeCell ref="E24:F24"/>
    <mergeCell ref="G24:H24"/>
    <mergeCell ref="A25:B25"/>
    <mergeCell ref="E25:F25"/>
    <mergeCell ref="G25:H25"/>
    <mergeCell ref="A20:B20"/>
    <mergeCell ref="C20:D20"/>
    <mergeCell ref="E20:F20"/>
    <mergeCell ref="G20:H20"/>
    <mergeCell ref="C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topLeftCell="A4" workbookViewId="0">
      <selection activeCell="G46" sqref="G46:H46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59"/>
      <c r="F10" s="159"/>
      <c r="G10" s="159"/>
      <c r="H10" s="159"/>
    </row>
    <row r="11" spans="1:8" ht="50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x14ac:dyDescent="0.25">
      <c r="A15" s="505" t="s">
        <v>359</v>
      </c>
      <c r="B15" s="674" t="s">
        <v>304</v>
      </c>
      <c r="C15" s="675"/>
      <c r="D15" s="675"/>
      <c r="E15" s="675"/>
      <c r="F15" s="676"/>
      <c r="G15" s="505" t="s">
        <v>250</v>
      </c>
      <c r="H15" s="507" t="s">
        <v>93</v>
      </c>
    </row>
    <row r="16" spans="1:8" ht="15.75" thickBot="1" x14ac:dyDescent="0.3">
      <c r="A16" s="506"/>
      <c r="B16" s="677"/>
      <c r="C16" s="678"/>
      <c r="D16" s="678"/>
      <c r="E16" s="678"/>
      <c r="F16" s="679"/>
      <c r="G16" s="506"/>
      <c r="H16" s="508"/>
    </row>
    <row r="17" spans="1:8" x14ac:dyDescent="0.25">
      <c r="A17" s="170" t="s">
        <v>168</v>
      </c>
      <c r="B17" s="159"/>
      <c r="C17" s="159"/>
      <c r="D17" s="159"/>
      <c r="E17" s="159"/>
      <c r="F17" s="159"/>
      <c r="G17" s="159"/>
      <c r="H17" s="159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680" t="s">
        <v>305</v>
      </c>
      <c r="B19" s="681"/>
      <c r="C19" s="262">
        <v>150000</v>
      </c>
      <c r="D19" s="262"/>
      <c r="E19" s="682">
        <v>10</v>
      </c>
      <c r="F19" s="682"/>
      <c r="G19" s="683">
        <f>+C19/E19</f>
        <v>15000</v>
      </c>
      <c r="H19" s="684"/>
    </row>
    <row r="20" spans="1:8" x14ac:dyDescent="0.25">
      <c r="A20" s="685" t="s">
        <v>264</v>
      </c>
      <c r="B20" s="686"/>
      <c r="C20" s="687"/>
      <c r="D20" s="687"/>
      <c r="E20" s="688">
        <v>0.1</v>
      </c>
      <c r="F20" s="689"/>
      <c r="G20" s="683">
        <f>ROUND(E20*G43,0)</f>
        <v>1696</v>
      </c>
      <c r="H20" s="684"/>
    </row>
    <row r="21" spans="1:8" x14ac:dyDescent="0.25">
      <c r="A21" s="263"/>
      <c r="B21" s="263"/>
      <c r="C21" s="690" t="s">
        <v>174</v>
      </c>
      <c r="D21" s="690"/>
      <c r="E21" s="690"/>
      <c r="F21" s="690"/>
      <c r="G21" s="691">
        <f>SUM(G19:H20)</f>
        <v>16696</v>
      </c>
      <c r="H21" s="691"/>
    </row>
    <row r="22" spans="1:8" x14ac:dyDescent="0.25">
      <c r="A22" s="264"/>
      <c r="B22" s="264"/>
      <c r="C22" s="265"/>
      <c r="D22" s="265"/>
      <c r="E22" s="265"/>
      <c r="F22" s="265"/>
      <c r="G22" s="266"/>
      <c r="H22" s="266"/>
    </row>
    <row r="23" spans="1:8" x14ac:dyDescent="0.25">
      <c r="A23" s="267" t="s">
        <v>175</v>
      </c>
      <c r="B23" s="263"/>
      <c r="C23" s="263"/>
      <c r="D23" s="263"/>
      <c r="E23" s="263"/>
      <c r="F23" s="263"/>
      <c r="G23" s="263"/>
      <c r="H23" s="263"/>
    </row>
    <row r="24" spans="1:8" x14ac:dyDescent="0.25">
      <c r="A24" s="692" t="s">
        <v>1</v>
      </c>
      <c r="B24" s="692"/>
      <c r="C24" s="268" t="s">
        <v>176</v>
      </c>
      <c r="D24" s="268" t="s">
        <v>177</v>
      </c>
      <c r="E24" s="692" t="s">
        <v>3</v>
      </c>
      <c r="F24" s="692"/>
      <c r="G24" s="692" t="s">
        <v>171</v>
      </c>
      <c r="H24" s="692"/>
    </row>
    <row r="25" spans="1:8" x14ac:dyDescent="0.25">
      <c r="A25" s="680" t="s">
        <v>306</v>
      </c>
      <c r="B25" s="681"/>
      <c r="C25" s="262" t="s">
        <v>93</v>
      </c>
      <c r="D25" s="262">
        <v>85000</v>
      </c>
      <c r="E25" s="682">
        <v>1</v>
      </c>
      <c r="F25" s="682"/>
      <c r="G25" s="683">
        <f>ROUND(D25*E25,0)</f>
        <v>85000</v>
      </c>
      <c r="H25" s="684"/>
    </row>
    <row r="26" spans="1:8" x14ac:dyDescent="0.25">
      <c r="A26" s="516" t="s">
        <v>307</v>
      </c>
      <c r="B26" s="517"/>
      <c r="C26" s="270">
        <v>0.05</v>
      </c>
      <c r="D26" s="178"/>
      <c r="E26" s="526"/>
      <c r="F26" s="526"/>
      <c r="G26" s="514">
        <f>ROUND(SUM(G25:H25)*C26,0)</f>
        <v>4250</v>
      </c>
      <c r="H26" s="515"/>
    </row>
    <row r="27" spans="1:8" x14ac:dyDescent="0.25">
      <c r="A27" s="516"/>
      <c r="B27" s="517"/>
      <c r="C27" s="177"/>
      <c r="D27" s="178"/>
      <c r="E27" s="526"/>
      <c r="F27" s="526"/>
      <c r="G27" s="514"/>
      <c r="H27" s="515"/>
    </row>
    <row r="28" spans="1:8" x14ac:dyDescent="0.25">
      <c r="A28" s="516"/>
      <c r="B28" s="517"/>
      <c r="C28" s="177"/>
      <c r="D28" s="178"/>
      <c r="E28" s="526"/>
      <c r="F28" s="526"/>
      <c r="G28" s="514"/>
      <c r="H28" s="515"/>
    </row>
    <row r="29" spans="1:8" x14ac:dyDescent="0.25">
      <c r="A29" s="516"/>
      <c r="B29" s="517"/>
      <c r="C29" s="177"/>
      <c r="D29" s="178"/>
      <c r="E29" s="526"/>
      <c r="F29" s="526"/>
      <c r="G29" s="514"/>
      <c r="H29" s="515"/>
    </row>
    <row r="30" spans="1:8" x14ac:dyDescent="0.25">
      <c r="A30" s="179"/>
      <c r="B30" s="179"/>
      <c r="C30" s="523" t="s">
        <v>174</v>
      </c>
      <c r="D30" s="523"/>
      <c r="E30" s="523"/>
      <c r="F30" s="523"/>
      <c r="G30" s="524">
        <f>SUM(G25:H28)</f>
        <v>89250</v>
      </c>
      <c r="H30" s="524"/>
    </row>
    <row r="31" spans="1:8" x14ac:dyDescent="0.25">
      <c r="A31" s="159"/>
      <c r="B31" s="159"/>
      <c r="C31" s="159"/>
      <c r="D31" s="159"/>
      <c r="E31" s="159"/>
      <c r="F31" s="159"/>
      <c r="G31" s="159"/>
      <c r="H31" s="159"/>
    </row>
    <row r="32" spans="1:8" x14ac:dyDescent="0.25">
      <c r="A32" s="170" t="s">
        <v>181</v>
      </c>
      <c r="B32" s="171"/>
      <c r="C32" s="171"/>
      <c r="D32" s="171"/>
      <c r="E32" s="171"/>
      <c r="F32" s="171"/>
      <c r="G32" s="171"/>
      <c r="H32" s="171"/>
    </row>
    <row r="33" spans="1:8" x14ac:dyDescent="0.25">
      <c r="A33" s="509" t="s">
        <v>182</v>
      </c>
      <c r="B33" s="509"/>
      <c r="C33" s="180" t="s">
        <v>183</v>
      </c>
      <c r="D33" s="181" t="s">
        <v>184</v>
      </c>
      <c r="E33" s="174" t="s">
        <v>269</v>
      </c>
      <c r="F33" s="174" t="s">
        <v>270</v>
      </c>
      <c r="G33" s="509" t="s">
        <v>171</v>
      </c>
      <c r="H33" s="509"/>
    </row>
    <row r="34" spans="1:8" x14ac:dyDescent="0.25">
      <c r="A34" s="527" t="s">
        <v>308</v>
      </c>
      <c r="B34" s="527"/>
      <c r="C34" s="182">
        <v>1.05</v>
      </c>
      <c r="D34" s="183">
        <v>70</v>
      </c>
      <c r="E34" s="184">
        <f>+C34*D34</f>
        <v>73.5</v>
      </c>
      <c r="F34" s="184">
        <v>1000</v>
      </c>
      <c r="G34" s="528">
        <f>+F34*E34</f>
        <v>73500</v>
      </c>
      <c r="H34" s="528"/>
    </row>
    <row r="35" spans="1:8" x14ac:dyDescent="0.25">
      <c r="A35" s="527" t="s">
        <v>272</v>
      </c>
      <c r="B35" s="527"/>
      <c r="C35" s="182">
        <f>+E25*(1+C26)</f>
        <v>1.05</v>
      </c>
      <c r="D35" s="183">
        <v>5</v>
      </c>
      <c r="E35" s="184">
        <f>+C35*D35</f>
        <v>5.25</v>
      </c>
      <c r="F35" s="184">
        <v>1000</v>
      </c>
      <c r="G35" s="528">
        <f>+F35*E35</f>
        <v>5250</v>
      </c>
      <c r="H35" s="528"/>
    </row>
    <row r="36" spans="1:8" x14ac:dyDescent="0.25">
      <c r="A36" s="527"/>
      <c r="B36" s="527"/>
      <c r="C36" s="182"/>
      <c r="D36" s="183"/>
      <c r="E36" s="184"/>
      <c r="F36" s="184"/>
      <c r="G36" s="528">
        <f>+F36*E36</f>
        <v>0</v>
      </c>
      <c r="H36" s="528"/>
    </row>
    <row r="37" spans="1:8" x14ac:dyDescent="0.25">
      <c r="A37" s="179"/>
      <c r="B37" s="179"/>
      <c r="C37" s="523" t="s">
        <v>174</v>
      </c>
      <c r="D37" s="523"/>
      <c r="E37" s="523"/>
      <c r="F37" s="523"/>
      <c r="G37" s="524">
        <f>SUM(G34:H36)</f>
        <v>78750</v>
      </c>
      <c r="H37" s="524"/>
    </row>
    <row r="38" spans="1:8" x14ac:dyDescent="0.25">
      <c r="A38" s="159"/>
      <c r="B38" s="159"/>
      <c r="C38" s="159"/>
      <c r="D38" s="159"/>
      <c r="E38" s="159"/>
      <c r="F38" s="159"/>
      <c r="G38" s="159"/>
      <c r="H38" s="159"/>
    </row>
    <row r="39" spans="1:8" x14ac:dyDescent="0.25">
      <c r="A39" s="170" t="s">
        <v>186</v>
      </c>
      <c r="B39" s="171"/>
      <c r="C39" s="171"/>
      <c r="D39" s="171"/>
      <c r="E39" s="171"/>
      <c r="F39" s="171"/>
      <c r="G39" s="171"/>
      <c r="H39" s="171"/>
    </row>
    <row r="40" spans="1:8" x14ac:dyDescent="0.25">
      <c r="A40" s="509" t="s">
        <v>187</v>
      </c>
      <c r="B40" s="509"/>
      <c r="C40" s="174" t="s">
        <v>188</v>
      </c>
      <c r="D40" s="181" t="s">
        <v>189</v>
      </c>
      <c r="E40" s="185" t="s">
        <v>190</v>
      </c>
      <c r="F40" s="186" t="s">
        <v>170</v>
      </c>
      <c r="G40" s="509" t="s">
        <v>171</v>
      </c>
      <c r="H40" s="509"/>
    </row>
    <row r="41" spans="1:8" x14ac:dyDescent="0.25">
      <c r="A41" s="510" t="s">
        <v>201</v>
      </c>
      <c r="B41" s="511"/>
      <c r="C41" s="269">
        <v>60000</v>
      </c>
      <c r="D41" s="271">
        <v>1.85</v>
      </c>
      <c r="E41" s="269">
        <f>+C41*D41</f>
        <v>111000</v>
      </c>
      <c r="F41" s="272">
        <v>18</v>
      </c>
      <c r="G41" s="693">
        <f>+ROUND(E41/F41,0)</f>
        <v>6167</v>
      </c>
      <c r="H41" s="693"/>
    </row>
    <row r="42" spans="1:8" x14ac:dyDescent="0.25">
      <c r="A42" s="527" t="s">
        <v>223</v>
      </c>
      <c r="B42" s="527"/>
      <c r="C42" s="178">
        <f>35000*3</f>
        <v>105000</v>
      </c>
      <c r="D42" s="188">
        <v>1.85</v>
      </c>
      <c r="E42" s="178">
        <f>+C42*D42</f>
        <v>194250</v>
      </c>
      <c r="F42" s="192">
        <f>+F41</f>
        <v>18</v>
      </c>
      <c r="G42" s="528">
        <f>+ROUND(E42/F42,0)</f>
        <v>10792</v>
      </c>
      <c r="H42" s="528"/>
    </row>
    <row r="43" spans="1:8" x14ac:dyDescent="0.25">
      <c r="A43" s="179"/>
      <c r="B43" s="179"/>
      <c r="C43" s="523" t="s">
        <v>174</v>
      </c>
      <c r="D43" s="523"/>
      <c r="E43" s="523"/>
      <c r="F43" s="523"/>
      <c r="G43" s="524">
        <f>SUM(G41:H42)</f>
        <v>16959</v>
      </c>
      <c r="H43" s="524"/>
    </row>
    <row r="44" spans="1:8" x14ac:dyDescent="0.25">
      <c r="A44" s="159"/>
      <c r="B44" s="159"/>
      <c r="C44" s="159"/>
      <c r="D44" s="159"/>
      <c r="E44" s="159"/>
      <c r="F44" s="159"/>
      <c r="G44" s="159"/>
      <c r="H44" s="159"/>
    </row>
    <row r="45" spans="1:8" x14ac:dyDescent="0.25">
      <c r="A45" s="159"/>
      <c r="B45" s="159"/>
      <c r="C45" s="159"/>
      <c r="D45" s="159"/>
      <c r="E45" s="159"/>
      <c r="F45" s="159"/>
      <c r="G45" s="159"/>
      <c r="H45" s="159"/>
    </row>
    <row r="46" spans="1:8" x14ac:dyDescent="0.25">
      <c r="A46" s="532" t="s">
        <v>193</v>
      </c>
      <c r="B46" s="532"/>
      <c r="C46" s="532"/>
      <c r="D46" s="532"/>
      <c r="E46" s="532"/>
      <c r="F46" s="532"/>
      <c r="G46" s="533">
        <f>+ROUND(G21+G30+G37+G43,0)</f>
        <v>201655</v>
      </c>
      <c r="H46" s="534"/>
    </row>
    <row r="47" spans="1:8" x14ac:dyDescent="0.25">
      <c r="G47" s="309">
        <f>+G46</f>
        <v>201655</v>
      </c>
    </row>
  </sheetData>
  <mergeCells count="66">
    <mergeCell ref="A42:B42"/>
    <mergeCell ref="G42:H42"/>
    <mergeCell ref="C43:F43"/>
    <mergeCell ref="G43:H43"/>
    <mergeCell ref="A46:F46"/>
    <mergeCell ref="G46:H46"/>
    <mergeCell ref="C37:F37"/>
    <mergeCell ref="G37:H37"/>
    <mergeCell ref="A40:B40"/>
    <mergeCell ref="G40:H40"/>
    <mergeCell ref="A41:B41"/>
    <mergeCell ref="G41:H41"/>
    <mergeCell ref="A34:B34"/>
    <mergeCell ref="G34:H34"/>
    <mergeCell ref="A35:B35"/>
    <mergeCell ref="G35:H35"/>
    <mergeCell ref="A36:B36"/>
    <mergeCell ref="G36:H36"/>
    <mergeCell ref="A26:B26"/>
    <mergeCell ref="E26:F26"/>
    <mergeCell ref="G26:H26"/>
    <mergeCell ref="A33:B33"/>
    <mergeCell ref="G33:H33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C30:F30"/>
    <mergeCell ref="G30:H30"/>
    <mergeCell ref="A24:B24"/>
    <mergeCell ref="E24:F24"/>
    <mergeCell ref="G24:H24"/>
    <mergeCell ref="A25:B25"/>
    <mergeCell ref="E25:F25"/>
    <mergeCell ref="G25:H25"/>
    <mergeCell ref="A20:B20"/>
    <mergeCell ref="C20:D20"/>
    <mergeCell ref="E20:F20"/>
    <mergeCell ref="G20:H20"/>
    <mergeCell ref="C21:F21"/>
    <mergeCell ref="G21:H21"/>
    <mergeCell ref="A18:B18"/>
    <mergeCell ref="C18:D18"/>
    <mergeCell ref="E18:F18"/>
    <mergeCell ref="G18:H18"/>
    <mergeCell ref="A19:B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workbookViewId="0">
      <selection activeCell="G43" sqref="G43:H43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0.42578125" customWidth="1"/>
    <col min="8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/>
    <row r="11" spans="1:8" ht="60.7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16" t="s">
        <v>372</v>
      </c>
      <c r="B15" s="418" t="s">
        <v>134</v>
      </c>
      <c r="C15" s="419"/>
      <c r="D15" s="419"/>
      <c r="E15" s="419"/>
      <c r="F15" s="420"/>
      <c r="G15" s="416" t="s">
        <v>166</v>
      </c>
      <c r="H15" s="426" t="s">
        <v>93</v>
      </c>
    </row>
    <row r="16" spans="1:8" ht="22.5" customHeight="1" thickBot="1" x14ac:dyDescent="0.3">
      <c r="A16" s="417"/>
      <c r="B16" s="421"/>
      <c r="C16" s="422"/>
      <c r="D16" s="422"/>
      <c r="E16" s="422"/>
      <c r="F16" s="423"/>
      <c r="G16" s="417"/>
      <c r="H16" s="427"/>
    </row>
    <row r="17" spans="1:11" x14ac:dyDescent="0.25">
      <c r="A17" s="105" t="s">
        <v>168</v>
      </c>
      <c r="B17" s="46"/>
      <c r="C17" s="46"/>
      <c r="D17" s="46"/>
      <c r="E17" s="46"/>
      <c r="F17" s="46"/>
      <c r="G17" s="46"/>
      <c r="H17" s="46"/>
    </row>
    <row r="18" spans="1:11" x14ac:dyDescent="0.25">
      <c r="A18" s="384" t="s">
        <v>1</v>
      </c>
      <c r="B18" s="384"/>
      <c r="C18" s="384" t="s">
        <v>169</v>
      </c>
      <c r="D18" s="384"/>
      <c r="E18" s="384" t="s">
        <v>170</v>
      </c>
      <c r="F18" s="384"/>
      <c r="G18" s="384" t="s">
        <v>171</v>
      </c>
      <c r="H18" s="384"/>
    </row>
    <row r="19" spans="1:11" ht="44.25" customHeight="1" x14ac:dyDescent="0.25">
      <c r="A19" s="385" t="s">
        <v>386</v>
      </c>
      <c r="B19" s="401"/>
      <c r="C19" s="391">
        <v>150000</v>
      </c>
      <c r="D19" s="392"/>
      <c r="E19" s="402">
        <v>8</v>
      </c>
      <c r="F19" s="403"/>
      <c r="G19" s="391">
        <f>+C19/E19</f>
        <v>18750</v>
      </c>
      <c r="H19" s="392"/>
    </row>
    <row r="20" spans="1:11" ht="36" customHeight="1" x14ac:dyDescent="0.25">
      <c r="A20" s="385" t="s">
        <v>221</v>
      </c>
      <c r="B20" s="401"/>
      <c r="C20" s="391">
        <v>70000</v>
      </c>
      <c r="D20" s="392"/>
      <c r="E20" s="395">
        <v>1.5</v>
      </c>
      <c r="F20" s="396"/>
      <c r="G20" s="391">
        <f>+C20/E20</f>
        <v>46666.666666666664</v>
      </c>
      <c r="H20" s="392"/>
    </row>
    <row r="21" spans="1:11" x14ac:dyDescent="0.25">
      <c r="A21" s="539" t="s">
        <v>173</v>
      </c>
      <c r="B21" s="540"/>
      <c r="C21" s="542"/>
      <c r="D21" s="542"/>
      <c r="E21" s="541">
        <v>0.1</v>
      </c>
      <c r="F21" s="542"/>
      <c r="G21" s="380">
        <f>+G40*E21</f>
        <v>2428.125</v>
      </c>
      <c r="H21" s="380"/>
      <c r="K21" s="61"/>
    </row>
    <row r="22" spans="1:11" x14ac:dyDescent="0.25">
      <c r="A22" s="46"/>
      <c r="B22" s="46"/>
      <c r="C22" s="381" t="s">
        <v>174</v>
      </c>
      <c r="D22" s="381"/>
      <c r="E22" s="381"/>
      <c r="F22" s="381"/>
      <c r="G22" s="380">
        <f>+G19+G20+G21</f>
        <v>67844.791666666657</v>
      </c>
      <c r="H22" s="380"/>
    </row>
    <row r="23" spans="1:11" x14ac:dyDescent="0.25">
      <c r="A23" s="46"/>
      <c r="B23" s="46"/>
      <c r="C23" s="111"/>
      <c r="D23" s="111"/>
      <c r="E23" s="111"/>
      <c r="F23" s="111"/>
      <c r="G23" s="112"/>
      <c r="H23" s="112"/>
    </row>
    <row r="24" spans="1:11" x14ac:dyDescent="0.25">
      <c r="A24" s="105" t="s">
        <v>175</v>
      </c>
      <c r="B24" s="46"/>
      <c r="C24" s="46"/>
      <c r="D24" s="46"/>
      <c r="E24" s="46"/>
      <c r="F24" s="46"/>
      <c r="G24" s="46"/>
      <c r="H24" s="46"/>
    </row>
    <row r="25" spans="1:11" x14ac:dyDescent="0.25">
      <c r="A25" s="384" t="s">
        <v>1</v>
      </c>
      <c r="B25" s="384"/>
      <c r="C25" s="64" t="s">
        <v>176</v>
      </c>
      <c r="D25" s="64" t="s">
        <v>177</v>
      </c>
      <c r="E25" s="384" t="s">
        <v>3</v>
      </c>
      <c r="F25" s="384"/>
      <c r="G25" s="384" t="s">
        <v>171</v>
      </c>
      <c r="H25" s="384"/>
    </row>
    <row r="26" spans="1:11" x14ac:dyDescent="0.25">
      <c r="A26" s="539"/>
      <c r="B26" s="540"/>
      <c r="C26" s="66"/>
      <c r="D26" s="67"/>
      <c r="E26" s="389"/>
      <c r="F26" s="390"/>
      <c r="G26" s="391"/>
      <c r="H26" s="392"/>
    </row>
    <row r="27" spans="1:11" x14ac:dyDescent="0.25">
      <c r="A27" s="379"/>
      <c r="B27" s="379"/>
      <c r="C27" s="66"/>
      <c r="D27" s="67"/>
      <c r="E27" s="389"/>
      <c r="F27" s="390"/>
      <c r="G27" s="391"/>
      <c r="H27" s="392"/>
    </row>
    <row r="28" spans="1:11" x14ac:dyDescent="0.25">
      <c r="A28" s="70"/>
      <c r="B28" s="70"/>
      <c r="C28" s="381" t="s">
        <v>174</v>
      </c>
      <c r="D28" s="381"/>
      <c r="E28" s="381"/>
      <c r="F28" s="381"/>
      <c r="G28" s="380"/>
      <c r="H28" s="380"/>
    </row>
    <row r="29" spans="1:11" x14ac:dyDescent="0.25">
      <c r="A29" s="46"/>
      <c r="B29" s="46"/>
      <c r="C29" s="46"/>
      <c r="D29" s="46"/>
      <c r="E29" s="46"/>
      <c r="F29" s="46"/>
      <c r="G29" s="46"/>
      <c r="H29" s="46"/>
    </row>
    <row r="30" spans="1:11" x14ac:dyDescent="0.25">
      <c r="A30" s="105" t="s">
        <v>181</v>
      </c>
      <c r="B30" s="46"/>
      <c r="C30" s="46"/>
      <c r="D30" s="46"/>
      <c r="E30" s="46"/>
      <c r="F30" s="46"/>
      <c r="G30" s="46"/>
      <c r="H30" s="46"/>
    </row>
    <row r="31" spans="1:11" x14ac:dyDescent="0.25">
      <c r="A31" s="384" t="s">
        <v>182</v>
      </c>
      <c r="B31" s="384"/>
      <c r="C31" s="64" t="s">
        <v>183</v>
      </c>
      <c r="D31" s="72" t="s">
        <v>184</v>
      </c>
      <c r="E31" s="384" t="s">
        <v>185</v>
      </c>
      <c r="F31" s="384"/>
      <c r="G31" s="384" t="s">
        <v>171</v>
      </c>
      <c r="H31" s="384"/>
    </row>
    <row r="32" spans="1:11" ht="26.25" customHeight="1" x14ac:dyDescent="0.25">
      <c r="A32" s="385" t="s">
        <v>222</v>
      </c>
      <c r="B32" s="386"/>
      <c r="C32" s="73">
        <v>1</v>
      </c>
      <c r="D32" s="73">
        <v>20</v>
      </c>
      <c r="E32" s="380">
        <v>1000</v>
      </c>
      <c r="F32" s="380"/>
      <c r="G32" s="380">
        <f>+D32*E32</f>
        <v>20000</v>
      </c>
      <c r="H32" s="380"/>
    </row>
    <row r="33" spans="1:8" x14ac:dyDescent="0.25">
      <c r="A33" s="379"/>
      <c r="B33" s="379"/>
      <c r="C33" s="66"/>
      <c r="D33" s="66"/>
      <c r="E33" s="380"/>
      <c r="F33" s="380"/>
      <c r="G33" s="380"/>
      <c r="H33" s="380"/>
    </row>
    <row r="34" spans="1:8" x14ac:dyDescent="0.25">
      <c r="A34" s="70"/>
      <c r="B34" s="70"/>
      <c r="C34" s="381" t="s">
        <v>174</v>
      </c>
      <c r="D34" s="381"/>
      <c r="E34" s="381"/>
      <c r="F34" s="381"/>
      <c r="G34" s="380">
        <f>+G32</f>
        <v>20000</v>
      </c>
      <c r="H34" s="380"/>
    </row>
    <row r="35" spans="1:8" x14ac:dyDescent="0.25">
      <c r="A35" s="46"/>
      <c r="B35" s="46"/>
      <c r="C35" s="46"/>
      <c r="D35" s="46"/>
      <c r="E35" s="46"/>
      <c r="F35" s="46"/>
      <c r="G35" s="46"/>
      <c r="H35" s="46"/>
    </row>
    <row r="36" spans="1:8" x14ac:dyDescent="0.25">
      <c r="A36" s="105" t="s">
        <v>186</v>
      </c>
      <c r="B36" s="46"/>
      <c r="C36" s="46"/>
      <c r="D36" s="46"/>
      <c r="E36" s="46"/>
      <c r="F36" s="46"/>
      <c r="G36" s="46"/>
      <c r="H36" s="46"/>
    </row>
    <row r="37" spans="1:8" x14ac:dyDescent="0.25">
      <c r="A37" s="384" t="s">
        <v>187</v>
      </c>
      <c r="B37" s="384"/>
      <c r="C37" s="64" t="s">
        <v>188</v>
      </c>
      <c r="D37" s="72" t="s">
        <v>189</v>
      </c>
      <c r="E37" s="110" t="s">
        <v>190</v>
      </c>
      <c r="F37" s="74" t="s">
        <v>170</v>
      </c>
      <c r="G37" s="384" t="s">
        <v>171</v>
      </c>
      <c r="H37" s="384"/>
    </row>
    <row r="38" spans="1:8" x14ac:dyDescent="0.25">
      <c r="A38" s="379" t="s">
        <v>223</v>
      </c>
      <c r="B38" s="379"/>
      <c r="C38" s="67">
        <f>35000*3</f>
        <v>105000</v>
      </c>
      <c r="D38" s="75">
        <v>0.85</v>
      </c>
      <c r="E38" s="67">
        <f>+((C38*D38)+C38)</f>
        <v>194250</v>
      </c>
      <c r="F38" s="116">
        <v>8</v>
      </c>
      <c r="G38" s="380">
        <f>+E38/F38</f>
        <v>24281.25</v>
      </c>
      <c r="H38" s="380"/>
    </row>
    <row r="39" spans="1:8" x14ac:dyDescent="0.25">
      <c r="A39" s="379"/>
      <c r="B39" s="379"/>
      <c r="C39" s="67"/>
      <c r="D39" s="66"/>
      <c r="E39" s="67"/>
      <c r="F39" s="66"/>
      <c r="G39" s="380"/>
      <c r="H39" s="380"/>
    </row>
    <row r="40" spans="1:8" x14ac:dyDescent="0.25">
      <c r="A40" s="70"/>
      <c r="B40" s="70"/>
      <c r="C40" s="381" t="s">
        <v>174</v>
      </c>
      <c r="D40" s="381"/>
      <c r="E40" s="381"/>
      <c r="F40" s="381"/>
      <c r="G40" s="380">
        <f>+G38</f>
        <v>24281.25</v>
      </c>
      <c r="H40" s="380"/>
    </row>
    <row r="41" spans="1:8" x14ac:dyDescent="0.25">
      <c r="A41" s="46"/>
      <c r="B41" s="46"/>
      <c r="C41" s="46"/>
      <c r="D41" s="46"/>
      <c r="E41" s="46"/>
      <c r="F41" s="46"/>
      <c r="G41" s="46"/>
      <c r="H41" s="46"/>
    </row>
    <row r="42" spans="1:8" x14ac:dyDescent="0.25">
      <c r="A42" s="46"/>
      <c r="B42" s="46"/>
      <c r="C42" s="46"/>
      <c r="D42" s="46"/>
      <c r="E42" s="46"/>
      <c r="F42" s="46"/>
      <c r="G42" s="46"/>
      <c r="H42" s="46"/>
    </row>
    <row r="43" spans="1:8" x14ac:dyDescent="0.25">
      <c r="A43" s="537" t="s">
        <v>193</v>
      </c>
      <c r="B43" s="537"/>
      <c r="C43" s="537"/>
      <c r="D43" s="537"/>
      <c r="E43" s="537"/>
      <c r="F43" s="537"/>
      <c r="G43" s="538">
        <f>+ROUND(G22+G28+G34+G40,0)</f>
        <v>112126</v>
      </c>
      <c r="H43" s="538"/>
    </row>
    <row r="44" spans="1:8" x14ac:dyDescent="0.25">
      <c r="G44" s="309">
        <f>+G43</f>
        <v>112126</v>
      </c>
    </row>
  </sheetData>
  <mergeCells count="63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31:B31"/>
    <mergeCell ref="E31:F31"/>
    <mergeCell ref="G31:H31"/>
    <mergeCell ref="C22:F22"/>
    <mergeCell ref="G22:H22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32:B32"/>
    <mergeCell ref="E32:F32"/>
    <mergeCell ref="G32:H32"/>
    <mergeCell ref="A33:B33"/>
    <mergeCell ref="E33:F33"/>
    <mergeCell ref="G33:H33"/>
    <mergeCell ref="C34:F34"/>
    <mergeCell ref="G34:H34"/>
    <mergeCell ref="A37:B37"/>
    <mergeCell ref="G37:H37"/>
    <mergeCell ref="A38:B38"/>
    <mergeCell ref="G38:H38"/>
    <mergeCell ref="A39:B39"/>
    <mergeCell ref="G39:H39"/>
    <mergeCell ref="C40:F40"/>
    <mergeCell ref="G40:H40"/>
    <mergeCell ref="A43:F43"/>
    <mergeCell ref="G43:H4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workbookViewId="0">
      <selection activeCell="G46" sqref="G46:H46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3.28515625" customWidth="1"/>
    <col min="8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>
      <c r="A10" s="46"/>
      <c r="B10" s="46"/>
      <c r="C10" s="46"/>
      <c r="D10" s="46"/>
      <c r="E10" s="46"/>
      <c r="F10" s="46"/>
      <c r="G10" s="46"/>
      <c r="H10" s="46"/>
    </row>
    <row r="11" spans="1:8" ht="65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24" t="s">
        <v>371</v>
      </c>
      <c r="B15" s="418" t="s">
        <v>224</v>
      </c>
      <c r="C15" s="419"/>
      <c r="D15" s="419"/>
      <c r="E15" s="419"/>
      <c r="F15" s="420"/>
      <c r="G15" s="424" t="s">
        <v>166</v>
      </c>
      <c r="H15" s="426" t="s">
        <v>400</v>
      </c>
    </row>
    <row r="16" spans="1:8" ht="12.75" customHeight="1" x14ac:dyDescent="0.25">
      <c r="A16" s="694"/>
      <c r="B16" s="696"/>
      <c r="C16" s="697"/>
      <c r="D16" s="697"/>
      <c r="E16" s="697"/>
      <c r="F16" s="698"/>
      <c r="G16" s="694"/>
      <c r="H16" s="702"/>
    </row>
    <row r="17" spans="1:8" ht="15.75" thickBot="1" x14ac:dyDescent="0.3">
      <c r="A17" s="695"/>
      <c r="B17" s="699"/>
      <c r="C17" s="700"/>
      <c r="D17" s="700"/>
      <c r="E17" s="700"/>
      <c r="F17" s="701"/>
      <c r="G17" s="695"/>
      <c r="H17" s="703"/>
    </row>
    <row r="18" spans="1:8" x14ac:dyDescent="0.25">
      <c r="A18" s="119" t="s">
        <v>168</v>
      </c>
    </row>
    <row r="19" spans="1:8" x14ac:dyDescent="0.25">
      <c r="A19" s="704" t="s">
        <v>1</v>
      </c>
      <c r="B19" s="704"/>
      <c r="C19" s="704" t="s">
        <v>169</v>
      </c>
      <c r="D19" s="704"/>
      <c r="E19" s="704" t="s">
        <v>170</v>
      </c>
      <c r="F19" s="704"/>
      <c r="G19" s="704" t="s">
        <v>171</v>
      </c>
      <c r="H19" s="704"/>
    </row>
    <row r="20" spans="1:8" ht="38.25" customHeight="1" x14ac:dyDescent="0.25">
      <c r="A20" s="385" t="s">
        <v>225</v>
      </c>
      <c r="B20" s="401"/>
      <c r="C20" s="380">
        <v>150000</v>
      </c>
      <c r="D20" s="380"/>
      <c r="E20" s="542">
        <v>3</v>
      </c>
      <c r="F20" s="542"/>
      <c r="G20" s="380">
        <f>+C20/E20</f>
        <v>50000</v>
      </c>
      <c r="H20" s="380"/>
    </row>
    <row r="21" spans="1:8" x14ac:dyDescent="0.25">
      <c r="A21" s="385"/>
      <c r="B21" s="401"/>
      <c r="C21" s="380"/>
      <c r="D21" s="380"/>
      <c r="E21" s="542"/>
      <c r="F21" s="542"/>
      <c r="G21" s="380"/>
      <c r="H21" s="380"/>
    </row>
    <row r="22" spans="1:8" ht="12.75" customHeight="1" x14ac:dyDescent="0.25">
      <c r="A22" s="397" t="s">
        <v>173</v>
      </c>
      <c r="B22" s="398"/>
      <c r="C22" s="399"/>
      <c r="D22" s="399"/>
      <c r="E22" s="400">
        <v>0.1</v>
      </c>
      <c r="F22" s="399"/>
      <c r="G22" s="388">
        <f>+E22*G43</f>
        <v>1850</v>
      </c>
      <c r="H22" s="388"/>
    </row>
    <row r="23" spans="1:8" x14ac:dyDescent="0.25">
      <c r="C23" s="387" t="s">
        <v>174</v>
      </c>
      <c r="D23" s="387"/>
      <c r="E23" s="387"/>
      <c r="F23" s="387"/>
      <c r="G23" s="388">
        <f>SUM(G20:H22)</f>
        <v>51850</v>
      </c>
      <c r="H23" s="388"/>
    </row>
    <row r="24" spans="1:8" x14ac:dyDescent="0.25">
      <c r="C24" s="62"/>
      <c r="D24" s="62"/>
      <c r="E24" s="62"/>
      <c r="F24" s="62"/>
      <c r="G24" s="63"/>
      <c r="H24" s="63"/>
    </row>
    <row r="25" spans="1:8" x14ac:dyDescent="0.25">
      <c r="A25" s="119" t="s">
        <v>175</v>
      </c>
    </row>
    <row r="26" spans="1:8" x14ac:dyDescent="0.25">
      <c r="A26" s="704" t="s">
        <v>1</v>
      </c>
      <c r="B26" s="704"/>
      <c r="C26" s="120" t="s">
        <v>176</v>
      </c>
      <c r="D26" s="120" t="s">
        <v>177</v>
      </c>
      <c r="E26" s="704" t="s">
        <v>3</v>
      </c>
      <c r="F26" s="704"/>
      <c r="G26" s="704" t="s">
        <v>171</v>
      </c>
      <c r="H26" s="704"/>
    </row>
    <row r="27" spans="1:8" x14ac:dyDescent="0.25">
      <c r="A27" s="379" t="s">
        <v>226</v>
      </c>
      <c r="B27" s="379"/>
      <c r="C27" s="65" t="s">
        <v>102</v>
      </c>
      <c r="D27" s="67">
        <v>18000</v>
      </c>
      <c r="E27" s="389">
        <v>2</v>
      </c>
      <c r="F27" s="390"/>
      <c r="G27" s="391">
        <f>+D27*E27</f>
        <v>36000</v>
      </c>
      <c r="H27" s="392"/>
    </row>
    <row r="28" spans="1:8" x14ac:dyDescent="0.25">
      <c r="A28" s="379" t="s">
        <v>227</v>
      </c>
      <c r="B28" s="379"/>
      <c r="C28" s="65" t="s">
        <v>102</v>
      </c>
      <c r="D28" s="67">
        <v>25000</v>
      </c>
      <c r="E28" s="389">
        <v>1</v>
      </c>
      <c r="F28" s="390"/>
      <c r="G28" s="391">
        <f>+D28*E28</f>
        <v>25000</v>
      </c>
      <c r="H28" s="392"/>
    </row>
    <row r="29" spans="1:8" x14ac:dyDescent="0.25">
      <c r="A29" s="705" t="s">
        <v>228</v>
      </c>
      <c r="B29" s="705"/>
      <c r="C29" s="121" t="s">
        <v>176</v>
      </c>
      <c r="D29" s="114">
        <v>3694</v>
      </c>
      <c r="E29" s="543">
        <v>4</v>
      </c>
      <c r="F29" s="544"/>
      <c r="G29" s="706">
        <f>+D29*E29</f>
        <v>14776</v>
      </c>
      <c r="H29" s="707"/>
    </row>
    <row r="30" spans="1:8" x14ac:dyDescent="0.25">
      <c r="A30" s="122"/>
      <c r="B30" s="122"/>
      <c r="C30" s="387" t="s">
        <v>174</v>
      </c>
      <c r="D30" s="387"/>
      <c r="E30" s="387"/>
      <c r="F30" s="387"/>
      <c r="G30" s="388">
        <f>SUM(G27:H29)</f>
        <v>75776</v>
      </c>
      <c r="H30" s="388"/>
    </row>
    <row r="32" spans="1:8" x14ac:dyDescent="0.25">
      <c r="A32" s="119" t="s">
        <v>181</v>
      </c>
    </row>
    <row r="33" spans="1:8" x14ac:dyDescent="0.25">
      <c r="A33" s="704" t="s">
        <v>182</v>
      </c>
      <c r="B33" s="704"/>
      <c r="C33" s="123" t="s">
        <v>183</v>
      </c>
      <c r="D33" s="124" t="s">
        <v>184</v>
      </c>
      <c r="E33" s="704" t="s">
        <v>185</v>
      </c>
      <c r="F33" s="704"/>
      <c r="G33" s="704" t="s">
        <v>171</v>
      </c>
      <c r="H33" s="704"/>
    </row>
    <row r="34" spans="1:8" x14ac:dyDescent="0.25">
      <c r="A34" s="705"/>
      <c r="B34" s="705"/>
      <c r="C34" s="125"/>
      <c r="D34" s="125"/>
      <c r="E34" s="388"/>
      <c r="F34" s="388"/>
      <c r="G34" s="388"/>
      <c r="H34" s="388"/>
    </row>
    <row r="35" spans="1:8" x14ac:dyDescent="0.25">
      <c r="A35" s="705"/>
      <c r="B35" s="705"/>
      <c r="C35" s="125"/>
      <c r="D35" s="125"/>
      <c r="E35" s="388"/>
      <c r="F35" s="388"/>
      <c r="G35" s="388"/>
      <c r="H35" s="388"/>
    </row>
    <row r="36" spans="1:8" x14ac:dyDescent="0.25">
      <c r="A36" s="705"/>
      <c r="B36" s="705"/>
      <c r="C36" s="125"/>
      <c r="D36" s="125"/>
      <c r="E36" s="388"/>
      <c r="F36" s="388"/>
      <c r="G36" s="388"/>
      <c r="H36" s="388"/>
    </row>
    <row r="37" spans="1:8" x14ac:dyDescent="0.25">
      <c r="A37" s="122"/>
      <c r="B37" s="122"/>
      <c r="C37" s="387" t="s">
        <v>174</v>
      </c>
      <c r="D37" s="387"/>
      <c r="E37" s="387"/>
      <c r="F37" s="387"/>
      <c r="G37" s="388">
        <f>SUM(G34:H36)</f>
        <v>0</v>
      </c>
      <c r="H37" s="388"/>
    </row>
    <row r="39" spans="1:8" x14ac:dyDescent="0.25">
      <c r="A39" s="119" t="s">
        <v>186</v>
      </c>
    </row>
    <row r="40" spans="1:8" x14ac:dyDescent="0.25">
      <c r="A40" s="704" t="s">
        <v>187</v>
      </c>
      <c r="B40" s="704"/>
      <c r="C40" s="123" t="s">
        <v>188</v>
      </c>
      <c r="D40" s="124" t="s">
        <v>189</v>
      </c>
      <c r="E40" s="126" t="s">
        <v>190</v>
      </c>
      <c r="F40" s="127" t="s">
        <v>170</v>
      </c>
      <c r="G40" s="704" t="s">
        <v>171</v>
      </c>
      <c r="H40" s="704"/>
    </row>
    <row r="41" spans="1:8" x14ac:dyDescent="0.25">
      <c r="A41" s="397" t="s">
        <v>201</v>
      </c>
      <c r="B41" s="398"/>
      <c r="C41" s="128">
        <v>60000</v>
      </c>
      <c r="D41" s="129">
        <v>0.85</v>
      </c>
      <c r="E41" s="128">
        <f>+((C41*D41)+C41)</f>
        <v>111000</v>
      </c>
      <c r="F41" s="113">
        <v>20</v>
      </c>
      <c r="G41" s="388">
        <f>+E41/F41</f>
        <v>5550</v>
      </c>
      <c r="H41" s="388"/>
    </row>
    <row r="42" spans="1:8" x14ac:dyDescent="0.25">
      <c r="A42" s="397" t="s">
        <v>229</v>
      </c>
      <c r="B42" s="398"/>
      <c r="C42" s="128">
        <f>35000*4</f>
        <v>140000</v>
      </c>
      <c r="D42" s="129">
        <v>0.85</v>
      </c>
      <c r="E42" s="128">
        <f>+((C42*D42)+C42)</f>
        <v>259000</v>
      </c>
      <c r="F42" s="113">
        <v>20</v>
      </c>
      <c r="G42" s="706">
        <f>+E42/F42</f>
        <v>12950</v>
      </c>
      <c r="H42" s="707"/>
    </row>
    <row r="43" spans="1:8" x14ac:dyDescent="0.25">
      <c r="A43" s="122"/>
      <c r="B43" s="122"/>
      <c r="C43" s="387" t="s">
        <v>174</v>
      </c>
      <c r="D43" s="387"/>
      <c r="E43" s="387"/>
      <c r="F43" s="387"/>
      <c r="G43" s="388">
        <f>SUM(G41:H42)</f>
        <v>18500</v>
      </c>
      <c r="H43" s="388"/>
    </row>
    <row r="46" spans="1:8" x14ac:dyDescent="0.25">
      <c r="A46" s="382" t="s">
        <v>193</v>
      </c>
      <c r="B46" s="382"/>
      <c r="C46" s="382"/>
      <c r="D46" s="382"/>
      <c r="E46" s="382"/>
      <c r="F46" s="382"/>
      <c r="G46" s="383">
        <f>+ROUND(G23+G30+G37+G43,0)</f>
        <v>146126</v>
      </c>
      <c r="H46" s="383"/>
    </row>
    <row r="47" spans="1:8" x14ac:dyDescent="0.25">
      <c r="G47" s="309">
        <f>+G46</f>
        <v>146126</v>
      </c>
    </row>
  </sheetData>
  <mergeCells count="69">
    <mergeCell ref="A42:B42"/>
    <mergeCell ref="G42:H42"/>
    <mergeCell ref="C43:F43"/>
    <mergeCell ref="G43:H43"/>
    <mergeCell ref="A46:F46"/>
    <mergeCell ref="G46:H46"/>
    <mergeCell ref="C37:F37"/>
    <mergeCell ref="G37:H37"/>
    <mergeCell ref="A40:B40"/>
    <mergeCell ref="G40:H40"/>
    <mergeCell ref="A41:B41"/>
    <mergeCell ref="G41:H41"/>
    <mergeCell ref="A35:B35"/>
    <mergeCell ref="E35:F35"/>
    <mergeCell ref="G35:H35"/>
    <mergeCell ref="A36:B36"/>
    <mergeCell ref="E36:F36"/>
    <mergeCell ref="G36:H36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C30:F30"/>
    <mergeCell ref="G30:H30"/>
    <mergeCell ref="A33:B33"/>
    <mergeCell ref="E33:F33"/>
    <mergeCell ref="G33:H33"/>
    <mergeCell ref="A27:B27"/>
    <mergeCell ref="E27:F27"/>
    <mergeCell ref="G27:H27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19:B19"/>
    <mergeCell ref="C19:D19"/>
    <mergeCell ref="E19:F19"/>
    <mergeCell ref="G19:H19"/>
    <mergeCell ref="A20:B20"/>
    <mergeCell ref="C20:D20"/>
    <mergeCell ref="E20:F20"/>
    <mergeCell ref="G20:H20"/>
    <mergeCell ref="A8:H8"/>
    <mergeCell ref="G9:H9"/>
    <mergeCell ref="A11:H13"/>
    <mergeCell ref="A15:A17"/>
    <mergeCell ref="B15:F17"/>
    <mergeCell ref="G15:G17"/>
    <mergeCell ref="H15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workbookViewId="0">
      <selection activeCell="G54" sqref="G54:H54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1.5703125" customWidth="1"/>
    <col min="8" max="8" width="9.28515625" customWidth="1"/>
    <col min="10" max="10" width="13.28515625" bestFit="1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266" max="266" width="13.28515625" bestFit="1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522" max="522" width="13.28515625" bestFit="1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778" max="778" width="13.28515625" bestFit="1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034" max="1034" width="13.28515625" bestFit="1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290" max="1290" width="13.28515625" bestFit="1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546" max="1546" width="13.28515625" bestFit="1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1802" max="1802" width="13.28515625" bestFit="1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058" max="2058" width="13.28515625" bestFit="1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314" max="2314" width="13.28515625" bestFit="1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570" max="2570" width="13.28515625" bestFit="1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2826" max="2826" width="13.28515625" bestFit="1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082" max="3082" width="13.28515625" bestFit="1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338" max="3338" width="13.28515625" bestFit="1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594" max="3594" width="13.28515625" bestFit="1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3850" max="3850" width="13.28515625" bestFit="1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106" max="4106" width="13.28515625" bestFit="1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362" max="4362" width="13.28515625" bestFit="1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618" max="4618" width="13.28515625" bestFit="1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4874" max="4874" width="13.28515625" bestFit="1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130" max="5130" width="13.28515625" bestFit="1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386" max="5386" width="13.28515625" bestFit="1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642" max="5642" width="13.28515625" bestFit="1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5898" max="5898" width="13.28515625" bestFit="1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154" max="6154" width="13.28515625" bestFit="1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410" max="6410" width="13.28515625" bestFit="1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666" max="6666" width="13.28515625" bestFit="1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6922" max="6922" width="13.28515625" bestFit="1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178" max="7178" width="13.28515625" bestFit="1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434" max="7434" width="13.28515625" bestFit="1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690" max="7690" width="13.28515625" bestFit="1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7946" max="7946" width="13.28515625" bestFit="1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202" max="8202" width="13.28515625" bestFit="1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458" max="8458" width="13.28515625" bestFit="1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714" max="8714" width="13.28515625" bestFit="1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8970" max="8970" width="13.28515625" bestFit="1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226" max="9226" width="13.28515625" bestFit="1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482" max="9482" width="13.28515625" bestFit="1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738" max="9738" width="13.28515625" bestFit="1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9994" max="9994" width="13.28515625" bestFit="1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250" max="10250" width="13.28515625" bestFit="1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506" max="10506" width="13.28515625" bestFit="1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0762" max="10762" width="13.28515625" bestFit="1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018" max="11018" width="13.28515625" bestFit="1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274" max="11274" width="13.28515625" bestFit="1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530" max="11530" width="13.28515625" bestFit="1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1786" max="11786" width="13.28515625" bestFit="1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042" max="12042" width="13.28515625" bestFit="1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298" max="12298" width="13.28515625" bestFit="1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554" max="12554" width="13.28515625" bestFit="1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2810" max="12810" width="13.28515625" bestFit="1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066" max="13066" width="13.28515625" bestFit="1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322" max="13322" width="13.28515625" bestFit="1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578" max="13578" width="13.28515625" bestFit="1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3834" max="13834" width="13.28515625" bestFit="1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090" max="14090" width="13.28515625" bestFit="1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346" max="14346" width="13.28515625" bestFit="1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602" max="14602" width="13.28515625" bestFit="1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4858" max="14858" width="13.28515625" bestFit="1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114" max="15114" width="13.28515625" bestFit="1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370" max="15370" width="13.28515625" bestFit="1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626" max="15626" width="13.28515625" bestFit="1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5882" max="15882" width="13.28515625" bestFit="1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  <col min="16138" max="16138" width="13.28515625" bestFit="1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/>
    <row r="11" spans="1:8" ht="65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24" t="s">
        <v>370</v>
      </c>
      <c r="B15" s="418" t="s">
        <v>230</v>
      </c>
      <c r="C15" s="419"/>
      <c r="D15" s="419"/>
      <c r="E15" s="419"/>
      <c r="F15" s="420"/>
      <c r="G15" s="424" t="s">
        <v>166</v>
      </c>
      <c r="H15" s="426" t="s">
        <v>93</v>
      </c>
    </row>
    <row r="16" spans="1:8" ht="12.75" customHeight="1" x14ac:dyDescent="0.25">
      <c r="A16" s="694"/>
      <c r="B16" s="696"/>
      <c r="C16" s="697"/>
      <c r="D16" s="697"/>
      <c r="E16" s="697"/>
      <c r="F16" s="698"/>
      <c r="G16" s="694"/>
      <c r="H16" s="702"/>
    </row>
    <row r="17" spans="1:17" ht="15.75" thickBot="1" x14ac:dyDescent="0.3">
      <c r="A17" s="695"/>
      <c r="B17" s="699"/>
      <c r="C17" s="700"/>
      <c r="D17" s="700"/>
      <c r="E17" s="700"/>
      <c r="F17" s="701"/>
      <c r="G17" s="695"/>
      <c r="H17" s="703"/>
    </row>
    <row r="18" spans="1:17" x14ac:dyDescent="0.25">
      <c r="A18" s="130" t="s">
        <v>168</v>
      </c>
      <c r="B18" s="131"/>
      <c r="C18" s="131"/>
      <c r="D18" s="131"/>
      <c r="E18" s="131"/>
      <c r="F18" s="131"/>
      <c r="G18" s="131"/>
      <c r="H18" s="131"/>
    </row>
    <row r="19" spans="1:17" x14ac:dyDescent="0.25">
      <c r="A19" s="384" t="s">
        <v>1</v>
      </c>
      <c r="B19" s="384"/>
      <c r="C19" s="384" t="s">
        <v>169</v>
      </c>
      <c r="D19" s="384"/>
      <c r="E19" s="384" t="s">
        <v>170</v>
      </c>
      <c r="F19" s="384"/>
      <c r="G19" s="384" t="s">
        <v>171</v>
      </c>
      <c r="H19" s="384"/>
    </row>
    <row r="20" spans="1:17" x14ac:dyDescent="0.25">
      <c r="A20" s="446" t="s">
        <v>231</v>
      </c>
      <c r="B20" s="447"/>
      <c r="C20" s="441">
        <v>8000</v>
      </c>
      <c r="D20" s="441"/>
      <c r="E20" s="542">
        <v>2</v>
      </c>
      <c r="F20" s="542"/>
      <c r="G20" s="380">
        <f>+C20/E20</f>
        <v>4000</v>
      </c>
      <c r="H20" s="380"/>
    </row>
    <row r="21" spans="1:17" x14ac:dyDescent="0.25">
      <c r="A21" s="397" t="s">
        <v>232</v>
      </c>
      <c r="B21" s="398"/>
      <c r="C21" s="388">
        <v>15000</v>
      </c>
      <c r="D21" s="388"/>
      <c r="E21" s="399">
        <v>0.25</v>
      </c>
      <c r="F21" s="399"/>
      <c r="G21" s="380">
        <f>+C21/E21</f>
        <v>60000</v>
      </c>
      <c r="H21" s="380"/>
    </row>
    <row r="22" spans="1:17" x14ac:dyDescent="0.25">
      <c r="A22" s="397" t="s">
        <v>233</v>
      </c>
      <c r="B22" s="398"/>
      <c r="C22" s="388">
        <v>12000</v>
      </c>
      <c r="D22" s="388"/>
      <c r="E22" s="399">
        <v>1</v>
      </c>
      <c r="F22" s="399"/>
      <c r="G22" s="380">
        <f>+C22*E22</f>
        <v>12000</v>
      </c>
      <c r="H22" s="380"/>
    </row>
    <row r="23" spans="1:17" x14ac:dyDescent="0.25">
      <c r="A23" s="539" t="s">
        <v>173</v>
      </c>
      <c r="B23" s="540"/>
      <c r="C23" s="380"/>
      <c r="D23" s="380"/>
      <c r="E23" s="541">
        <v>0.1</v>
      </c>
      <c r="F23" s="541"/>
      <c r="G23" s="380">
        <f>+E23*G51</f>
        <v>4995</v>
      </c>
      <c r="H23" s="380"/>
    </row>
    <row r="24" spans="1:17" x14ac:dyDescent="0.25">
      <c r="A24" s="131"/>
      <c r="B24" s="131"/>
      <c r="C24" s="384" t="s">
        <v>174</v>
      </c>
      <c r="D24" s="384"/>
      <c r="E24" s="384"/>
      <c r="F24" s="384"/>
      <c r="G24" s="380">
        <f>SUM(G20:H23)</f>
        <v>80995</v>
      </c>
      <c r="H24" s="380"/>
    </row>
    <row r="25" spans="1:17" x14ac:dyDescent="0.25">
      <c r="A25" s="131"/>
      <c r="B25" s="131"/>
      <c r="C25" s="132"/>
      <c r="D25" s="132"/>
      <c r="E25" s="132"/>
      <c r="F25" s="132"/>
      <c r="G25" s="112"/>
      <c r="H25" s="112"/>
      <c r="K25" s="133"/>
      <c r="L25" s="134"/>
      <c r="M25" s="134"/>
      <c r="N25" s="134"/>
      <c r="O25" s="134"/>
      <c r="P25" s="134"/>
      <c r="Q25" s="134"/>
    </row>
    <row r="26" spans="1:17" x14ac:dyDescent="0.25">
      <c r="A26" s="59" t="s">
        <v>175</v>
      </c>
      <c r="B26" s="131"/>
      <c r="C26" s="131"/>
      <c r="D26" s="131"/>
      <c r="E26" s="131"/>
      <c r="F26" s="131"/>
      <c r="G26" s="131"/>
      <c r="H26" s="131"/>
      <c r="K26" s="135"/>
      <c r="L26" s="133"/>
      <c r="M26" s="136"/>
      <c r="N26" s="134"/>
      <c r="O26" s="134"/>
      <c r="P26" s="134"/>
      <c r="Q26" s="137"/>
    </row>
    <row r="27" spans="1:17" x14ac:dyDescent="0.25">
      <c r="A27" s="384" t="s">
        <v>1</v>
      </c>
      <c r="B27" s="384"/>
      <c r="C27" s="64" t="s">
        <v>176</v>
      </c>
      <c r="D27" s="64" t="s">
        <v>177</v>
      </c>
      <c r="E27" s="384" t="s">
        <v>3</v>
      </c>
      <c r="F27" s="384"/>
      <c r="G27" s="384" t="s">
        <v>171</v>
      </c>
      <c r="H27" s="384"/>
      <c r="K27" s="138"/>
      <c r="L27" s="139"/>
      <c r="M27" s="139"/>
      <c r="N27" s="140"/>
      <c r="O27" s="141"/>
      <c r="P27" s="142"/>
      <c r="Q27" s="142"/>
    </row>
    <row r="28" spans="1:17" x14ac:dyDescent="0.25">
      <c r="A28" s="379" t="s">
        <v>234</v>
      </c>
      <c r="B28" s="379"/>
      <c r="C28" s="65" t="s">
        <v>235</v>
      </c>
      <c r="D28" s="71">
        <v>40</v>
      </c>
      <c r="E28" s="389">
        <v>160</v>
      </c>
      <c r="F28" s="390"/>
      <c r="G28" s="391">
        <f t="shared" ref="G28:G33" si="0">+D28*E28</f>
        <v>6400</v>
      </c>
      <c r="H28" s="392"/>
      <c r="I28" s="143"/>
      <c r="K28" s="138"/>
      <c r="L28" s="139"/>
      <c r="M28" s="139"/>
      <c r="N28" s="140"/>
      <c r="O28" s="141"/>
      <c r="P28" s="142"/>
      <c r="Q28" s="142"/>
    </row>
    <row r="29" spans="1:17" x14ac:dyDescent="0.25">
      <c r="A29" s="379" t="s">
        <v>236</v>
      </c>
      <c r="B29" s="379"/>
      <c r="C29" s="65" t="s">
        <v>93</v>
      </c>
      <c r="D29" s="71">
        <v>60000</v>
      </c>
      <c r="E29" s="708">
        <v>0.56000000000000005</v>
      </c>
      <c r="F29" s="709"/>
      <c r="G29" s="391">
        <f t="shared" si="0"/>
        <v>33600</v>
      </c>
      <c r="H29" s="392"/>
      <c r="I29" s="143"/>
      <c r="K29" s="138"/>
      <c r="L29" s="139"/>
      <c r="M29" s="139"/>
      <c r="N29" s="140"/>
      <c r="O29" s="141"/>
      <c r="P29" s="142"/>
      <c r="Q29" s="142"/>
    </row>
    <row r="30" spans="1:17" x14ac:dyDescent="0.25">
      <c r="A30" s="379" t="s">
        <v>326</v>
      </c>
      <c r="B30" s="379"/>
      <c r="C30" s="65" t="s">
        <v>93</v>
      </c>
      <c r="D30" s="71">
        <v>75000</v>
      </c>
      <c r="E30" s="708">
        <v>0.86</v>
      </c>
      <c r="F30" s="709"/>
      <c r="G30" s="391">
        <f t="shared" si="0"/>
        <v>64500</v>
      </c>
      <c r="H30" s="392"/>
      <c r="I30" s="143"/>
      <c r="K30" s="138"/>
      <c r="L30" s="139"/>
      <c r="M30" s="139"/>
      <c r="N30" s="140"/>
      <c r="O30" s="141"/>
      <c r="P30" s="142"/>
      <c r="Q30" s="142"/>
    </row>
    <row r="31" spans="1:17" x14ac:dyDescent="0.25">
      <c r="A31" s="379" t="s">
        <v>237</v>
      </c>
      <c r="B31" s="379"/>
      <c r="C31" s="65" t="s">
        <v>238</v>
      </c>
      <c r="D31" s="71">
        <v>26000</v>
      </c>
      <c r="E31" s="389">
        <v>7</v>
      </c>
      <c r="F31" s="390"/>
      <c r="G31" s="391">
        <f t="shared" si="0"/>
        <v>182000</v>
      </c>
      <c r="H31" s="392"/>
      <c r="I31" s="143"/>
      <c r="K31" s="138"/>
      <c r="L31" s="139"/>
      <c r="M31" s="139"/>
      <c r="N31" s="140"/>
      <c r="O31" s="141"/>
      <c r="P31" s="142"/>
      <c r="Q31" s="142"/>
    </row>
    <row r="32" spans="1:17" ht="27" customHeight="1" x14ac:dyDescent="0.25">
      <c r="A32" s="385" t="s">
        <v>239</v>
      </c>
      <c r="B32" s="401"/>
      <c r="C32" s="157" t="s">
        <v>218</v>
      </c>
      <c r="D32" s="71">
        <v>2900</v>
      </c>
      <c r="E32" s="389">
        <v>85</v>
      </c>
      <c r="F32" s="390"/>
      <c r="G32" s="391">
        <f t="shared" si="0"/>
        <v>246500</v>
      </c>
      <c r="H32" s="392"/>
      <c r="I32" s="143"/>
      <c r="J32" s="143"/>
      <c r="K32" s="138"/>
      <c r="L32" s="139"/>
      <c r="M32" s="139"/>
      <c r="N32" s="140"/>
      <c r="O32" s="141"/>
      <c r="P32" s="142"/>
      <c r="Q32" s="142"/>
    </row>
    <row r="33" spans="1:17" ht="27" customHeight="1" x14ac:dyDescent="0.25">
      <c r="A33" s="385" t="s">
        <v>262</v>
      </c>
      <c r="B33" s="401"/>
      <c r="C33" s="144" t="s">
        <v>218</v>
      </c>
      <c r="D33" s="117">
        <v>3200</v>
      </c>
      <c r="E33" s="389">
        <v>0.2</v>
      </c>
      <c r="F33" s="390"/>
      <c r="G33" s="391">
        <f t="shared" si="0"/>
        <v>640</v>
      </c>
      <c r="H33" s="392"/>
      <c r="I33" s="143"/>
      <c r="J33" s="143"/>
      <c r="K33" s="138"/>
      <c r="L33" s="139"/>
      <c r="M33" s="139"/>
      <c r="N33" s="140"/>
      <c r="O33" s="141"/>
      <c r="P33" s="142"/>
      <c r="Q33" s="142"/>
    </row>
    <row r="34" spans="1:17" x14ac:dyDescent="0.25">
      <c r="A34" s="379" t="s">
        <v>240</v>
      </c>
      <c r="B34" s="379"/>
      <c r="C34" s="145">
        <v>0.05</v>
      </c>
      <c r="D34" s="71"/>
      <c r="E34" s="68"/>
      <c r="F34" s="69"/>
      <c r="G34" s="391">
        <v>25372</v>
      </c>
      <c r="H34" s="392"/>
      <c r="I34" s="143"/>
      <c r="K34" s="138"/>
      <c r="L34" s="139"/>
      <c r="M34" s="139"/>
      <c r="N34" s="140"/>
      <c r="O34" s="141"/>
      <c r="P34" s="142"/>
      <c r="Q34" s="142"/>
    </row>
    <row r="35" spans="1:17" x14ac:dyDescent="0.25">
      <c r="C35" s="384" t="s">
        <v>174</v>
      </c>
      <c r="D35" s="384"/>
      <c r="E35" s="384"/>
      <c r="F35" s="384"/>
      <c r="G35" s="380">
        <f>SUM(G28:H34)</f>
        <v>559012</v>
      </c>
      <c r="H35" s="380"/>
      <c r="J35" s="143"/>
      <c r="K35" s="138"/>
      <c r="L35" s="139"/>
      <c r="M35" s="139"/>
      <c r="N35" s="140"/>
      <c r="O35" s="141"/>
      <c r="P35" s="142"/>
      <c r="Q35" s="142"/>
    </row>
    <row r="36" spans="1:17" x14ac:dyDescent="0.25">
      <c r="A36" s="131"/>
      <c r="B36" s="131"/>
      <c r="C36" s="131"/>
      <c r="D36" s="131"/>
      <c r="E36" s="131"/>
      <c r="F36" s="131"/>
      <c r="G36" s="131"/>
      <c r="H36" s="131"/>
      <c r="K36" s="138"/>
      <c r="L36" s="139"/>
      <c r="M36" s="139"/>
      <c r="N36" s="140"/>
      <c r="O36" s="141"/>
      <c r="P36" s="142"/>
      <c r="Q36" s="142"/>
    </row>
    <row r="37" spans="1:17" x14ac:dyDescent="0.25">
      <c r="A37" s="59" t="s">
        <v>181</v>
      </c>
      <c r="B37" s="131"/>
      <c r="C37" s="131"/>
      <c r="D37" s="131"/>
      <c r="E37" s="131"/>
      <c r="F37" s="131"/>
      <c r="G37" s="131"/>
      <c r="H37" s="131"/>
      <c r="K37" s="138"/>
      <c r="L37" s="139"/>
      <c r="M37" s="139"/>
      <c r="N37" s="140"/>
      <c r="O37" s="141"/>
      <c r="P37" s="142"/>
      <c r="Q37" s="142"/>
    </row>
    <row r="38" spans="1:17" x14ac:dyDescent="0.25">
      <c r="A38" s="384" t="s">
        <v>182</v>
      </c>
      <c r="B38" s="384"/>
      <c r="C38" s="64" t="s">
        <v>183</v>
      </c>
      <c r="D38" s="72" t="s">
        <v>184</v>
      </c>
      <c r="E38" s="384" t="s">
        <v>185</v>
      </c>
      <c r="F38" s="384"/>
      <c r="G38" s="384" t="s">
        <v>171</v>
      </c>
      <c r="H38" s="384"/>
      <c r="K38" s="138"/>
      <c r="L38" s="139"/>
      <c r="M38" s="139"/>
      <c r="N38" s="140"/>
      <c r="O38" s="141"/>
      <c r="P38" s="142"/>
      <c r="Q38" s="142"/>
    </row>
    <row r="39" spans="1:17" x14ac:dyDescent="0.25">
      <c r="A39" s="379" t="s">
        <v>241</v>
      </c>
      <c r="B39" s="379"/>
      <c r="C39" s="107">
        <v>0.56000000000000005</v>
      </c>
      <c r="D39" s="69">
        <v>20</v>
      </c>
      <c r="E39" s="391">
        <v>1000</v>
      </c>
      <c r="F39" s="392"/>
      <c r="G39" s="380">
        <f>+C39*D39*E39</f>
        <v>11200.000000000002</v>
      </c>
      <c r="H39" s="380"/>
      <c r="K39" s="138"/>
      <c r="L39" s="139"/>
      <c r="M39" s="139"/>
      <c r="N39" s="140"/>
      <c r="O39" s="141"/>
      <c r="P39" s="142"/>
      <c r="Q39" s="142"/>
    </row>
    <row r="40" spans="1:17" x14ac:dyDescent="0.25">
      <c r="A40" s="379" t="s">
        <v>326</v>
      </c>
      <c r="B40" s="379"/>
      <c r="C40" s="107">
        <v>0.86</v>
      </c>
      <c r="D40" s="107">
        <v>20</v>
      </c>
      <c r="E40" s="391">
        <v>1000</v>
      </c>
      <c r="F40" s="392"/>
      <c r="G40" s="380">
        <f>+C40*D40*E40</f>
        <v>17200</v>
      </c>
      <c r="H40" s="380"/>
    </row>
    <row r="41" spans="1:17" x14ac:dyDescent="0.25">
      <c r="A41" s="379" t="s">
        <v>237</v>
      </c>
      <c r="B41" s="379"/>
      <c r="C41" s="107">
        <v>7</v>
      </c>
      <c r="D41" s="107">
        <v>20</v>
      </c>
      <c r="E41" s="391">
        <v>15</v>
      </c>
      <c r="F41" s="392"/>
      <c r="G41" s="380">
        <f>+C41*D41*E41</f>
        <v>2100</v>
      </c>
      <c r="H41" s="380"/>
    </row>
    <row r="42" spans="1:17" ht="26.25" customHeight="1" x14ac:dyDescent="0.25">
      <c r="A42" s="385" t="s">
        <v>239</v>
      </c>
      <c r="B42" s="401"/>
      <c r="C42" s="107">
        <v>85</v>
      </c>
      <c r="D42" s="107">
        <v>20</v>
      </c>
      <c r="E42" s="391">
        <v>26</v>
      </c>
      <c r="F42" s="392"/>
      <c r="G42" s="380">
        <f>+C42*D42*E42</f>
        <v>44200</v>
      </c>
      <c r="H42" s="380"/>
    </row>
    <row r="43" spans="1:17" ht="26.25" customHeight="1" x14ac:dyDescent="0.25">
      <c r="A43" s="385" t="s">
        <v>262</v>
      </c>
      <c r="B43" s="401"/>
      <c r="C43" s="118">
        <v>0.2</v>
      </c>
      <c r="D43" s="118">
        <v>20</v>
      </c>
      <c r="E43" s="391">
        <v>10</v>
      </c>
      <c r="F43" s="392"/>
      <c r="G43" s="380">
        <f>+C43*D43*E43</f>
        <v>40</v>
      </c>
      <c r="H43" s="380"/>
    </row>
    <row r="44" spans="1:17" x14ac:dyDescent="0.25">
      <c r="A44" s="146"/>
      <c r="B44" s="146"/>
      <c r="C44" s="384" t="s">
        <v>174</v>
      </c>
      <c r="D44" s="384"/>
      <c r="E44" s="384"/>
      <c r="F44" s="384"/>
      <c r="G44" s="380">
        <f>SUM(G39:H43)</f>
        <v>74740</v>
      </c>
      <c r="H44" s="380"/>
    </row>
    <row r="45" spans="1:17" x14ac:dyDescent="0.25">
      <c r="A45" s="131"/>
      <c r="B45" s="131"/>
      <c r="C45" s="131"/>
      <c r="D45" s="131"/>
      <c r="E45" s="131"/>
      <c r="F45" s="131"/>
      <c r="G45" s="131"/>
      <c r="H45" s="131"/>
    </row>
    <row r="46" spans="1:17" ht="12" customHeight="1" x14ac:dyDescent="0.25">
      <c r="A46" s="59" t="s">
        <v>186</v>
      </c>
      <c r="B46" s="131"/>
      <c r="C46" s="131"/>
      <c r="D46" s="131"/>
      <c r="E46" s="131"/>
      <c r="F46" s="131"/>
      <c r="G46" s="131"/>
      <c r="H46" s="131"/>
    </row>
    <row r="47" spans="1:17" x14ac:dyDescent="0.25">
      <c r="A47" s="384" t="s">
        <v>187</v>
      </c>
      <c r="B47" s="384"/>
      <c r="C47" s="109" t="s">
        <v>188</v>
      </c>
      <c r="D47" s="72" t="s">
        <v>189</v>
      </c>
      <c r="E47" s="64" t="s">
        <v>190</v>
      </c>
      <c r="F47" s="72" t="s">
        <v>170</v>
      </c>
      <c r="G47" s="384" t="s">
        <v>171</v>
      </c>
      <c r="H47" s="384"/>
    </row>
    <row r="48" spans="1:17" x14ac:dyDescent="0.25">
      <c r="A48" s="539" t="s">
        <v>201</v>
      </c>
      <c r="B48" s="540"/>
      <c r="C48" s="71">
        <v>60000</v>
      </c>
      <c r="D48" s="115">
        <v>0.85</v>
      </c>
      <c r="E48" s="71">
        <f>+C48*(1+D48)</f>
        <v>111000</v>
      </c>
      <c r="F48" s="107">
        <v>10</v>
      </c>
      <c r="G48" s="380">
        <f>+E48/F48</f>
        <v>11100</v>
      </c>
      <c r="H48" s="380"/>
    </row>
    <row r="49" spans="1:10" x14ac:dyDescent="0.25">
      <c r="A49" s="379" t="s">
        <v>242</v>
      </c>
      <c r="B49" s="379"/>
      <c r="C49" s="71">
        <f>35000*6</f>
        <v>210000</v>
      </c>
      <c r="D49" s="115">
        <v>0.85</v>
      </c>
      <c r="E49" s="71">
        <f>+C49*(1+D49)</f>
        <v>388500</v>
      </c>
      <c r="F49" s="107">
        <v>10</v>
      </c>
      <c r="G49" s="380">
        <f>+E49/F49</f>
        <v>38850</v>
      </c>
      <c r="H49" s="380"/>
    </row>
    <row r="50" spans="1:10" x14ac:dyDescent="0.25">
      <c r="A50" s="542"/>
      <c r="B50" s="542"/>
      <c r="C50" s="71"/>
      <c r="D50" s="107"/>
      <c r="E50" s="71"/>
      <c r="F50" s="107"/>
      <c r="G50" s="380"/>
      <c r="H50" s="380"/>
    </row>
    <row r="51" spans="1:10" x14ac:dyDescent="0.25">
      <c r="A51" s="146"/>
      <c r="B51" s="146"/>
      <c r="C51" s="384" t="s">
        <v>174</v>
      </c>
      <c r="D51" s="384"/>
      <c r="E51" s="384"/>
      <c r="F51" s="384"/>
      <c r="G51" s="380">
        <f>+G48+G49+G50</f>
        <v>49950</v>
      </c>
      <c r="H51" s="380"/>
    </row>
    <row r="52" spans="1:10" x14ac:dyDescent="0.25">
      <c r="A52" s="131"/>
      <c r="B52" s="131"/>
      <c r="C52" s="131"/>
      <c r="D52" s="131"/>
      <c r="E52" s="131"/>
      <c r="F52" s="131"/>
      <c r="G52" s="131"/>
      <c r="H52" s="131"/>
    </row>
    <row r="53" spans="1:10" x14ac:dyDescent="0.25">
      <c r="A53" s="131"/>
      <c r="B53" s="131"/>
      <c r="C53" s="131"/>
      <c r="D53" s="131"/>
      <c r="E53" s="131"/>
      <c r="F53" s="131"/>
      <c r="G53" s="131"/>
      <c r="H53" s="131"/>
    </row>
    <row r="54" spans="1:10" x14ac:dyDescent="0.25">
      <c r="A54" s="710" t="s">
        <v>193</v>
      </c>
      <c r="B54" s="710"/>
      <c r="C54" s="710"/>
      <c r="D54" s="710"/>
      <c r="E54" s="710"/>
      <c r="F54" s="710"/>
      <c r="G54" s="538">
        <f>+ROUND(G24+G35+G44+G51,0)</f>
        <v>764697</v>
      </c>
      <c r="H54" s="538"/>
      <c r="J54" s="143"/>
    </row>
    <row r="55" spans="1:10" x14ac:dyDescent="0.25">
      <c r="G55" s="309">
        <f>+G54</f>
        <v>764697</v>
      </c>
    </row>
  </sheetData>
  <mergeCells count="92">
    <mergeCell ref="A47:B47"/>
    <mergeCell ref="G47:H47"/>
    <mergeCell ref="A48:B48"/>
    <mergeCell ref="G48:H48"/>
    <mergeCell ref="A54:F54"/>
    <mergeCell ref="G54:H54"/>
    <mergeCell ref="A49:B49"/>
    <mergeCell ref="G49:H49"/>
    <mergeCell ref="A50:B50"/>
    <mergeCell ref="G50:H50"/>
    <mergeCell ref="C51:F51"/>
    <mergeCell ref="G51:H51"/>
    <mergeCell ref="A42:B42"/>
    <mergeCell ref="E42:F42"/>
    <mergeCell ref="G42:H42"/>
    <mergeCell ref="C44:F44"/>
    <mergeCell ref="G44:H44"/>
    <mergeCell ref="A43:B43"/>
    <mergeCell ref="E43:F43"/>
    <mergeCell ref="G43:H43"/>
    <mergeCell ref="A40:B40"/>
    <mergeCell ref="E40:F40"/>
    <mergeCell ref="G40:H40"/>
    <mergeCell ref="A41:B41"/>
    <mergeCell ref="E41:F41"/>
    <mergeCell ref="G41:H41"/>
    <mergeCell ref="A31:B31"/>
    <mergeCell ref="E31:F31"/>
    <mergeCell ref="G31:H31"/>
    <mergeCell ref="A32:B32"/>
    <mergeCell ref="E32:F32"/>
    <mergeCell ref="G32:H32"/>
    <mergeCell ref="A29:B29"/>
    <mergeCell ref="E29:F29"/>
    <mergeCell ref="G29:H29"/>
    <mergeCell ref="A30:B30"/>
    <mergeCell ref="E30:F30"/>
    <mergeCell ref="G30:H30"/>
    <mergeCell ref="A27:B27"/>
    <mergeCell ref="E27:F27"/>
    <mergeCell ref="G27:H27"/>
    <mergeCell ref="A28:B28"/>
    <mergeCell ref="E28:F28"/>
    <mergeCell ref="G28:H28"/>
    <mergeCell ref="A23:B23"/>
    <mergeCell ref="C23:D23"/>
    <mergeCell ref="E23:F23"/>
    <mergeCell ref="G23:H23"/>
    <mergeCell ref="C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8:H8"/>
    <mergeCell ref="G9:H9"/>
    <mergeCell ref="A11:H13"/>
    <mergeCell ref="A15:A17"/>
    <mergeCell ref="B15:F17"/>
    <mergeCell ref="G15:G17"/>
    <mergeCell ref="H15:H17"/>
    <mergeCell ref="A1:B6"/>
    <mergeCell ref="C1:F1"/>
    <mergeCell ref="G1:H6"/>
    <mergeCell ref="C2:F2"/>
    <mergeCell ref="C4:F4"/>
    <mergeCell ref="C5:F5"/>
    <mergeCell ref="A33:B33"/>
    <mergeCell ref="E33:F33"/>
    <mergeCell ref="G33:H33"/>
    <mergeCell ref="A34:B34"/>
    <mergeCell ref="G34:H34"/>
    <mergeCell ref="A39:B39"/>
    <mergeCell ref="E39:F39"/>
    <mergeCell ref="G39:H39"/>
    <mergeCell ref="C35:F35"/>
    <mergeCell ref="G35:H35"/>
    <mergeCell ref="A38:B38"/>
    <mergeCell ref="E38:F38"/>
    <mergeCell ref="G38:H3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workbookViewId="0">
      <selection activeCell="G45" sqref="G45:H45"/>
    </sheetView>
  </sheetViews>
  <sheetFormatPr baseColWidth="10" defaultRowHeight="12.75" x14ac:dyDescent="0.2"/>
  <cols>
    <col min="1" max="2" width="9.28515625" style="77" customWidth="1"/>
    <col min="3" max="3" width="10.7109375" style="77" customWidth="1"/>
    <col min="4" max="4" width="12.140625" style="77" customWidth="1"/>
    <col min="5" max="6" width="11.42578125" style="77"/>
    <col min="7" max="7" width="11.7109375" style="77" customWidth="1"/>
    <col min="8" max="8" width="9.28515625" style="77" customWidth="1"/>
    <col min="9" max="256" width="11.42578125" style="77"/>
    <col min="257" max="258" width="9.28515625" style="77" customWidth="1"/>
    <col min="259" max="259" width="10.7109375" style="77" customWidth="1"/>
    <col min="260" max="260" width="12.140625" style="77" customWidth="1"/>
    <col min="261" max="262" width="11.42578125" style="77"/>
    <col min="263" max="264" width="9.28515625" style="77" customWidth="1"/>
    <col min="265" max="512" width="11.42578125" style="77"/>
    <col min="513" max="514" width="9.28515625" style="77" customWidth="1"/>
    <col min="515" max="515" width="10.7109375" style="77" customWidth="1"/>
    <col min="516" max="516" width="12.140625" style="77" customWidth="1"/>
    <col min="517" max="518" width="11.42578125" style="77"/>
    <col min="519" max="520" width="9.28515625" style="77" customWidth="1"/>
    <col min="521" max="768" width="11.42578125" style="77"/>
    <col min="769" max="770" width="9.28515625" style="77" customWidth="1"/>
    <col min="771" max="771" width="10.7109375" style="77" customWidth="1"/>
    <col min="772" max="772" width="12.140625" style="77" customWidth="1"/>
    <col min="773" max="774" width="11.42578125" style="77"/>
    <col min="775" max="776" width="9.28515625" style="77" customWidth="1"/>
    <col min="777" max="1024" width="11.42578125" style="77"/>
    <col min="1025" max="1026" width="9.28515625" style="77" customWidth="1"/>
    <col min="1027" max="1027" width="10.7109375" style="77" customWidth="1"/>
    <col min="1028" max="1028" width="12.140625" style="77" customWidth="1"/>
    <col min="1029" max="1030" width="11.42578125" style="77"/>
    <col min="1031" max="1032" width="9.28515625" style="77" customWidth="1"/>
    <col min="1033" max="1280" width="11.42578125" style="77"/>
    <col min="1281" max="1282" width="9.28515625" style="77" customWidth="1"/>
    <col min="1283" max="1283" width="10.7109375" style="77" customWidth="1"/>
    <col min="1284" max="1284" width="12.140625" style="77" customWidth="1"/>
    <col min="1285" max="1286" width="11.42578125" style="77"/>
    <col min="1287" max="1288" width="9.28515625" style="77" customWidth="1"/>
    <col min="1289" max="1536" width="11.42578125" style="77"/>
    <col min="1537" max="1538" width="9.28515625" style="77" customWidth="1"/>
    <col min="1539" max="1539" width="10.7109375" style="77" customWidth="1"/>
    <col min="1540" max="1540" width="12.140625" style="77" customWidth="1"/>
    <col min="1541" max="1542" width="11.42578125" style="77"/>
    <col min="1543" max="1544" width="9.28515625" style="77" customWidth="1"/>
    <col min="1545" max="1792" width="11.42578125" style="77"/>
    <col min="1793" max="1794" width="9.28515625" style="77" customWidth="1"/>
    <col min="1795" max="1795" width="10.7109375" style="77" customWidth="1"/>
    <col min="1796" max="1796" width="12.140625" style="77" customWidth="1"/>
    <col min="1797" max="1798" width="11.42578125" style="77"/>
    <col min="1799" max="1800" width="9.28515625" style="77" customWidth="1"/>
    <col min="1801" max="2048" width="11.42578125" style="77"/>
    <col min="2049" max="2050" width="9.28515625" style="77" customWidth="1"/>
    <col min="2051" max="2051" width="10.7109375" style="77" customWidth="1"/>
    <col min="2052" max="2052" width="12.140625" style="77" customWidth="1"/>
    <col min="2053" max="2054" width="11.42578125" style="77"/>
    <col min="2055" max="2056" width="9.28515625" style="77" customWidth="1"/>
    <col min="2057" max="2304" width="11.42578125" style="77"/>
    <col min="2305" max="2306" width="9.28515625" style="77" customWidth="1"/>
    <col min="2307" max="2307" width="10.7109375" style="77" customWidth="1"/>
    <col min="2308" max="2308" width="12.140625" style="77" customWidth="1"/>
    <col min="2309" max="2310" width="11.42578125" style="77"/>
    <col min="2311" max="2312" width="9.28515625" style="77" customWidth="1"/>
    <col min="2313" max="2560" width="11.42578125" style="77"/>
    <col min="2561" max="2562" width="9.28515625" style="77" customWidth="1"/>
    <col min="2563" max="2563" width="10.7109375" style="77" customWidth="1"/>
    <col min="2564" max="2564" width="12.140625" style="77" customWidth="1"/>
    <col min="2565" max="2566" width="11.42578125" style="77"/>
    <col min="2567" max="2568" width="9.28515625" style="77" customWidth="1"/>
    <col min="2569" max="2816" width="11.42578125" style="77"/>
    <col min="2817" max="2818" width="9.28515625" style="77" customWidth="1"/>
    <col min="2819" max="2819" width="10.7109375" style="77" customWidth="1"/>
    <col min="2820" max="2820" width="12.140625" style="77" customWidth="1"/>
    <col min="2821" max="2822" width="11.42578125" style="77"/>
    <col min="2823" max="2824" width="9.28515625" style="77" customWidth="1"/>
    <col min="2825" max="3072" width="11.42578125" style="77"/>
    <col min="3073" max="3074" width="9.28515625" style="77" customWidth="1"/>
    <col min="3075" max="3075" width="10.7109375" style="77" customWidth="1"/>
    <col min="3076" max="3076" width="12.140625" style="77" customWidth="1"/>
    <col min="3077" max="3078" width="11.42578125" style="77"/>
    <col min="3079" max="3080" width="9.28515625" style="77" customWidth="1"/>
    <col min="3081" max="3328" width="11.42578125" style="77"/>
    <col min="3329" max="3330" width="9.28515625" style="77" customWidth="1"/>
    <col min="3331" max="3331" width="10.7109375" style="77" customWidth="1"/>
    <col min="3332" max="3332" width="12.140625" style="77" customWidth="1"/>
    <col min="3333" max="3334" width="11.42578125" style="77"/>
    <col min="3335" max="3336" width="9.28515625" style="77" customWidth="1"/>
    <col min="3337" max="3584" width="11.42578125" style="77"/>
    <col min="3585" max="3586" width="9.28515625" style="77" customWidth="1"/>
    <col min="3587" max="3587" width="10.7109375" style="77" customWidth="1"/>
    <col min="3588" max="3588" width="12.140625" style="77" customWidth="1"/>
    <col min="3589" max="3590" width="11.42578125" style="77"/>
    <col min="3591" max="3592" width="9.28515625" style="77" customWidth="1"/>
    <col min="3593" max="3840" width="11.42578125" style="77"/>
    <col min="3841" max="3842" width="9.28515625" style="77" customWidth="1"/>
    <col min="3843" max="3843" width="10.7109375" style="77" customWidth="1"/>
    <col min="3844" max="3844" width="12.140625" style="77" customWidth="1"/>
    <col min="3845" max="3846" width="11.42578125" style="77"/>
    <col min="3847" max="3848" width="9.28515625" style="77" customWidth="1"/>
    <col min="3849" max="4096" width="11.42578125" style="77"/>
    <col min="4097" max="4098" width="9.28515625" style="77" customWidth="1"/>
    <col min="4099" max="4099" width="10.7109375" style="77" customWidth="1"/>
    <col min="4100" max="4100" width="12.140625" style="77" customWidth="1"/>
    <col min="4101" max="4102" width="11.42578125" style="77"/>
    <col min="4103" max="4104" width="9.28515625" style="77" customWidth="1"/>
    <col min="4105" max="4352" width="11.42578125" style="77"/>
    <col min="4353" max="4354" width="9.28515625" style="77" customWidth="1"/>
    <col min="4355" max="4355" width="10.7109375" style="77" customWidth="1"/>
    <col min="4356" max="4356" width="12.140625" style="77" customWidth="1"/>
    <col min="4357" max="4358" width="11.42578125" style="77"/>
    <col min="4359" max="4360" width="9.28515625" style="77" customWidth="1"/>
    <col min="4361" max="4608" width="11.42578125" style="77"/>
    <col min="4609" max="4610" width="9.28515625" style="77" customWidth="1"/>
    <col min="4611" max="4611" width="10.7109375" style="77" customWidth="1"/>
    <col min="4612" max="4612" width="12.140625" style="77" customWidth="1"/>
    <col min="4613" max="4614" width="11.42578125" style="77"/>
    <col min="4615" max="4616" width="9.28515625" style="77" customWidth="1"/>
    <col min="4617" max="4864" width="11.42578125" style="77"/>
    <col min="4865" max="4866" width="9.28515625" style="77" customWidth="1"/>
    <col min="4867" max="4867" width="10.7109375" style="77" customWidth="1"/>
    <col min="4868" max="4868" width="12.140625" style="77" customWidth="1"/>
    <col min="4869" max="4870" width="11.42578125" style="77"/>
    <col min="4871" max="4872" width="9.28515625" style="77" customWidth="1"/>
    <col min="4873" max="5120" width="11.42578125" style="77"/>
    <col min="5121" max="5122" width="9.28515625" style="77" customWidth="1"/>
    <col min="5123" max="5123" width="10.7109375" style="77" customWidth="1"/>
    <col min="5124" max="5124" width="12.140625" style="77" customWidth="1"/>
    <col min="5125" max="5126" width="11.42578125" style="77"/>
    <col min="5127" max="5128" width="9.28515625" style="77" customWidth="1"/>
    <col min="5129" max="5376" width="11.42578125" style="77"/>
    <col min="5377" max="5378" width="9.28515625" style="77" customWidth="1"/>
    <col min="5379" max="5379" width="10.7109375" style="77" customWidth="1"/>
    <col min="5380" max="5380" width="12.140625" style="77" customWidth="1"/>
    <col min="5381" max="5382" width="11.42578125" style="77"/>
    <col min="5383" max="5384" width="9.28515625" style="77" customWidth="1"/>
    <col min="5385" max="5632" width="11.42578125" style="77"/>
    <col min="5633" max="5634" width="9.28515625" style="77" customWidth="1"/>
    <col min="5635" max="5635" width="10.7109375" style="77" customWidth="1"/>
    <col min="5636" max="5636" width="12.140625" style="77" customWidth="1"/>
    <col min="5637" max="5638" width="11.42578125" style="77"/>
    <col min="5639" max="5640" width="9.28515625" style="77" customWidth="1"/>
    <col min="5641" max="5888" width="11.42578125" style="77"/>
    <col min="5889" max="5890" width="9.28515625" style="77" customWidth="1"/>
    <col min="5891" max="5891" width="10.7109375" style="77" customWidth="1"/>
    <col min="5892" max="5892" width="12.140625" style="77" customWidth="1"/>
    <col min="5893" max="5894" width="11.42578125" style="77"/>
    <col min="5895" max="5896" width="9.28515625" style="77" customWidth="1"/>
    <col min="5897" max="6144" width="11.42578125" style="77"/>
    <col min="6145" max="6146" width="9.28515625" style="77" customWidth="1"/>
    <col min="6147" max="6147" width="10.7109375" style="77" customWidth="1"/>
    <col min="6148" max="6148" width="12.140625" style="77" customWidth="1"/>
    <col min="6149" max="6150" width="11.42578125" style="77"/>
    <col min="6151" max="6152" width="9.28515625" style="77" customWidth="1"/>
    <col min="6153" max="6400" width="11.42578125" style="77"/>
    <col min="6401" max="6402" width="9.28515625" style="77" customWidth="1"/>
    <col min="6403" max="6403" width="10.7109375" style="77" customWidth="1"/>
    <col min="6404" max="6404" width="12.140625" style="77" customWidth="1"/>
    <col min="6405" max="6406" width="11.42578125" style="77"/>
    <col min="6407" max="6408" width="9.28515625" style="77" customWidth="1"/>
    <col min="6409" max="6656" width="11.42578125" style="77"/>
    <col min="6657" max="6658" width="9.28515625" style="77" customWidth="1"/>
    <col min="6659" max="6659" width="10.7109375" style="77" customWidth="1"/>
    <col min="6660" max="6660" width="12.140625" style="77" customWidth="1"/>
    <col min="6661" max="6662" width="11.42578125" style="77"/>
    <col min="6663" max="6664" width="9.28515625" style="77" customWidth="1"/>
    <col min="6665" max="6912" width="11.42578125" style="77"/>
    <col min="6913" max="6914" width="9.28515625" style="77" customWidth="1"/>
    <col min="6915" max="6915" width="10.7109375" style="77" customWidth="1"/>
    <col min="6916" max="6916" width="12.140625" style="77" customWidth="1"/>
    <col min="6917" max="6918" width="11.42578125" style="77"/>
    <col min="6919" max="6920" width="9.28515625" style="77" customWidth="1"/>
    <col min="6921" max="7168" width="11.42578125" style="77"/>
    <col min="7169" max="7170" width="9.28515625" style="77" customWidth="1"/>
    <col min="7171" max="7171" width="10.7109375" style="77" customWidth="1"/>
    <col min="7172" max="7172" width="12.140625" style="77" customWidth="1"/>
    <col min="7173" max="7174" width="11.42578125" style="77"/>
    <col min="7175" max="7176" width="9.28515625" style="77" customWidth="1"/>
    <col min="7177" max="7424" width="11.42578125" style="77"/>
    <col min="7425" max="7426" width="9.28515625" style="77" customWidth="1"/>
    <col min="7427" max="7427" width="10.7109375" style="77" customWidth="1"/>
    <col min="7428" max="7428" width="12.140625" style="77" customWidth="1"/>
    <col min="7429" max="7430" width="11.42578125" style="77"/>
    <col min="7431" max="7432" width="9.28515625" style="77" customWidth="1"/>
    <col min="7433" max="7680" width="11.42578125" style="77"/>
    <col min="7681" max="7682" width="9.28515625" style="77" customWidth="1"/>
    <col min="7683" max="7683" width="10.7109375" style="77" customWidth="1"/>
    <col min="7684" max="7684" width="12.140625" style="77" customWidth="1"/>
    <col min="7685" max="7686" width="11.42578125" style="77"/>
    <col min="7687" max="7688" width="9.28515625" style="77" customWidth="1"/>
    <col min="7689" max="7936" width="11.42578125" style="77"/>
    <col min="7937" max="7938" width="9.28515625" style="77" customWidth="1"/>
    <col min="7939" max="7939" width="10.7109375" style="77" customWidth="1"/>
    <col min="7940" max="7940" width="12.140625" style="77" customWidth="1"/>
    <col min="7941" max="7942" width="11.42578125" style="77"/>
    <col min="7943" max="7944" width="9.28515625" style="77" customWidth="1"/>
    <col min="7945" max="8192" width="11.42578125" style="77"/>
    <col min="8193" max="8194" width="9.28515625" style="77" customWidth="1"/>
    <col min="8195" max="8195" width="10.7109375" style="77" customWidth="1"/>
    <col min="8196" max="8196" width="12.140625" style="77" customWidth="1"/>
    <col min="8197" max="8198" width="11.42578125" style="77"/>
    <col min="8199" max="8200" width="9.28515625" style="77" customWidth="1"/>
    <col min="8201" max="8448" width="11.42578125" style="77"/>
    <col min="8449" max="8450" width="9.28515625" style="77" customWidth="1"/>
    <col min="8451" max="8451" width="10.7109375" style="77" customWidth="1"/>
    <col min="8452" max="8452" width="12.140625" style="77" customWidth="1"/>
    <col min="8453" max="8454" width="11.42578125" style="77"/>
    <col min="8455" max="8456" width="9.28515625" style="77" customWidth="1"/>
    <col min="8457" max="8704" width="11.42578125" style="77"/>
    <col min="8705" max="8706" width="9.28515625" style="77" customWidth="1"/>
    <col min="8707" max="8707" width="10.7109375" style="77" customWidth="1"/>
    <col min="8708" max="8708" width="12.140625" style="77" customWidth="1"/>
    <col min="8709" max="8710" width="11.42578125" style="77"/>
    <col min="8711" max="8712" width="9.28515625" style="77" customWidth="1"/>
    <col min="8713" max="8960" width="11.42578125" style="77"/>
    <col min="8961" max="8962" width="9.28515625" style="77" customWidth="1"/>
    <col min="8963" max="8963" width="10.7109375" style="77" customWidth="1"/>
    <col min="8964" max="8964" width="12.140625" style="77" customWidth="1"/>
    <col min="8965" max="8966" width="11.42578125" style="77"/>
    <col min="8967" max="8968" width="9.28515625" style="77" customWidth="1"/>
    <col min="8969" max="9216" width="11.42578125" style="77"/>
    <col min="9217" max="9218" width="9.28515625" style="77" customWidth="1"/>
    <col min="9219" max="9219" width="10.7109375" style="77" customWidth="1"/>
    <col min="9220" max="9220" width="12.140625" style="77" customWidth="1"/>
    <col min="9221" max="9222" width="11.42578125" style="77"/>
    <col min="9223" max="9224" width="9.28515625" style="77" customWidth="1"/>
    <col min="9225" max="9472" width="11.42578125" style="77"/>
    <col min="9473" max="9474" width="9.28515625" style="77" customWidth="1"/>
    <col min="9475" max="9475" width="10.7109375" style="77" customWidth="1"/>
    <col min="9476" max="9476" width="12.140625" style="77" customWidth="1"/>
    <col min="9477" max="9478" width="11.42578125" style="77"/>
    <col min="9479" max="9480" width="9.28515625" style="77" customWidth="1"/>
    <col min="9481" max="9728" width="11.42578125" style="77"/>
    <col min="9729" max="9730" width="9.28515625" style="77" customWidth="1"/>
    <col min="9731" max="9731" width="10.7109375" style="77" customWidth="1"/>
    <col min="9732" max="9732" width="12.140625" style="77" customWidth="1"/>
    <col min="9733" max="9734" width="11.42578125" style="77"/>
    <col min="9735" max="9736" width="9.28515625" style="77" customWidth="1"/>
    <col min="9737" max="9984" width="11.42578125" style="77"/>
    <col min="9985" max="9986" width="9.28515625" style="77" customWidth="1"/>
    <col min="9987" max="9987" width="10.7109375" style="77" customWidth="1"/>
    <col min="9988" max="9988" width="12.140625" style="77" customWidth="1"/>
    <col min="9989" max="9990" width="11.42578125" style="77"/>
    <col min="9991" max="9992" width="9.28515625" style="77" customWidth="1"/>
    <col min="9993" max="10240" width="11.42578125" style="77"/>
    <col min="10241" max="10242" width="9.28515625" style="77" customWidth="1"/>
    <col min="10243" max="10243" width="10.7109375" style="77" customWidth="1"/>
    <col min="10244" max="10244" width="12.140625" style="77" customWidth="1"/>
    <col min="10245" max="10246" width="11.42578125" style="77"/>
    <col min="10247" max="10248" width="9.28515625" style="77" customWidth="1"/>
    <col min="10249" max="10496" width="11.42578125" style="77"/>
    <col min="10497" max="10498" width="9.28515625" style="77" customWidth="1"/>
    <col min="10499" max="10499" width="10.7109375" style="77" customWidth="1"/>
    <col min="10500" max="10500" width="12.140625" style="77" customWidth="1"/>
    <col min="10501" max="10502" width="11.42578125" style="77"/>
    <col min="10503" max="10504" width="9.28515625" style="77" customWidth="1"/>
    <col min="10505" max="10752" width="11.42578125" style="77"/>
    <col min="10753" max="10754" width="9.28515625" style="77" customWidth="1"/>
    <col min="10755" max="10755" width="10.7109375" style="77" customWidth="1"/>
    <col min="10756" max="10756" width="12.140625" style="77" customWidth="1"/>
    <col min="10757" max="10758" width="11.42578125" style="77"/>
    <col min="10759" max="10760" width="9.28515625" style="77" customWidth="1"/>
    <col min="10761" max="11008" width="11.42578125" style="77"/>
    <col min="11009" max="11010" width="9.28515625" style="77" customWidth="1"/>
    <col min="11011" max="11011" width="10.7109375" style="77" customWidth="1"/>
    <col min="11012" max="11012" width="12.140625" style="77" customWidth="1"/>
    <col min="11013" max="11014" width="11.42578125" style="77"/>
    <col min="11015" max="11016" width="9.28515625" style="77" customWidth="1"/>
    <col min="11017" max="11264" width="11.42578125" style="77"/>
    <col min="11265" max="11266" width="9.28515625" style="77" customWidth="1"/>
    <col min="11267" max="11267" width="10.7109375" style="77" customWidth="1"/>
    <col min="11268" max="11268" width="12.140625" style="77" customWidth="1"/>
    <col min="11269" max="11270" width="11.42578125" style="77"/>
    <col min="11271" max="11272" width="9.28515625" style="77" customWidth="1"/>
    <col min="11273" max="11520" width="11.42578125" style="77"/>
    <col min="11521" max="11522" width="9.28515625" style="77" customWidth="1"/>
    <col min="11523" max="11523" width="10.7109375" style="77" customWidth="1"/>
    <col min="11524" max="11524" width="12.140625" style="77" customWidth="1"/>
    <col min="11525" max="11526" width="11.42578125" style="77"/>
    <col min="11527" max="11528" width="9.28515625" style="77" customWidth="1"/>
    <col min="11529" max="11776" width="11.42578125" style="77"/>
    <col min="11777" max="11778" width="9.28515625" style="77" customWidth="1"/>
    <col min="11779" max="11779" width="10.7109375" style="77" customWidth="1"/>
    <col min="11780" max="11780" width="12.140625" style="77" customWidth="1"/>
    <col min="11781" max="11782" width="11.42578125" style="77"/>
    <col min="11783" max="11784" width="9.28515625" style="77" customWidth="1"/>
    <col min="11785" max="12032" width="11.42578125" style="77"/>
    <col min="12033" max="12034" width="9.28515625" style="77" customWidth="1"/>
    <col min="12035" max="12035" width="10.7109375" style="77" customWidth="1"/>
    <col min="12036" max="12036" width="12.140625" style="77" customWidth="1"/>
    <col min="12037" max="12038" width="11.42578125" style="77"/>
    <col min="12039" max="12040" width="9.28515625" style="77" customWidth="1"/>
    <col min="12041" max="12288" width="11.42578125" style="77"/>
    <col min="12289" max="12290" width="9.28515625" style="77" customWidth="1"/>
    <col min="12291" max="12291" width="10.7109375" style="77" customWidth="1"/>
    <col min="12292" max="12292" width="12.140625" style="77" customWidth="1"/>
    <col min="12293" max="12294" width="11.42578125" style="77"/>
    <col min="12295" max="12296" width="9.28515625" style="77" customWidth="1"/>
    <col min="12297" max="12544" width="11.42578125" style="77"/>
    <col min="12545" max="12546" width="9.28515625" style="77" customWidth="1"/>
    <col min="12547" max="12547" width="10.7109375" style="77" customWidth="1"/>
    <col min="12548" max="12548" width="12.140625" style="77" customWidth="1"/>
    <col min="12549" max="12550" width="11.42578125" style="77"/>
    <col min="12551" max="12552" width="9.28515625" style="77" customWidth="1"/>
    <col min="12553" max="12800" width="11.42578125" style="77"/>
    <col min="12801" max="12802" width="9.28515625" style="77" customWidth="1"/>
    <col min="12803" max="12803" width="10.7109375" style="77" customWidth="1"/>
    <col min="12804" max="12804" width="12.140625" style="77" customWidth="1"/>
    <col min="12805" max="12806" width="11.42578125" style="77"/>
    <col min="12807" max="12808" width="9.28515625" style="77" customWidth="1"/>
    <col min="12809" max="13056" width="11.42578125" style="77"/>
    <col min="13057" max="13058" width="9.28515625" style="77" customWidth="1"/>
    <col min="13059" max="13059" width="10.7109375" style="77" customWidth="1"/>
    <col min="13060" max="13060" width="12.140625" style="77" customWidth="1"/>
    <col min="13061" max="13062" width="11.42578125" style="77"/>
    <col min="13063" max="13064" width="9.28515625" style="77" customWidth="1"/>
    <col min="13065" max="13312" width="11.42578125" style="77"/>
    <col min="13313" max="13314" width="9.28515625" style="77" customWidth="1"/>
    <col min="13315" max="13315" width="10.7109375" style="77" customWidth="1"/>
    <col min="13316" max="13316" width="12.140625" style="77" customWidth="1"/>
    <col min="13317" max="13318" width="11.42578125" style="77"/>
    <col min="13319" max="13320" width="9.28515625" style="77" customWidth="1"/>
    <col min="13321" max="13568" width="11.42578125" style="77"/>
    <col min="13569" max="13570" width="9.28515625" style="77" customWidth="1"/>
    <col min="13571" max="13571" width="10.7109375" style="77" customWidth="1"/>
    <col min="13572" max="13572" width="12.140625" style="77" customWidth="1"/>
    <col min="13573" max="13574" width="11.42578125" style="77"/>
    <col min="13575" max="13576" width="9.28515625" style="77" customWidth="1"/>
    <col min="13577" max="13824" width="11.42578125" style="77"/>
    <col min="13825" max="13826" width="9.28515625" style="77" customWidth="1"/>
    <col min="13827" max="13827" width="10.7109375" style="77" customWidth="1"/>
    <col min="13828" max="13828" width="12.140625" style="77" customWidth="1"/>
    <col min="13829" max="13830" width="11.42578125" style="77"/>
    <col min="13831" max="13832" width="9.28515625" style="77" customWidth="1"/>
    <col min="13833" max="14080" width="11.42578125" style="77"/>
    <col min="14081" max="14082" width="9.28515625" style="77" customWidth="1"/>
    <col min="14083" max="14083" width="10.7109375" style="77" customWidth="1"/>
    <col min="14084" max="14084" width="12.140625" style="77" customWidth="1"/>
    <col min="14085" max="14086" width="11.42578125" style="77"/>
    <col min="14087" max="14088" width="9.28515625" style="77" customWidth="1"/>
    <col min="14089" max="14336" width="11.42578125" style="77"/>
    <col min="14337" max="14338" width="9.28515625" style="77" customWidth="1"/>
    <col min="14339" max="14339" width="10.7109375" style="77" customWidth="1"/>
    <col min="14340" max="14340" width="12.140625" style="77" customWidth="1"/>
    <col min="14341" max="14342" width="11.42578125" style="77"/>
    <col min="14343" max="14344" width="9.28515625" style="77" customWidth="1"/>
    <col min="14345" max="14592" width="11.42578125" style="77"/>
    <col min="14593" max="14594" width="9.28515625" style="77" customWidth="1"/>
    <col min="14595" max="14595" width="10.7109375" style="77" customWidth="1"/>
    <col min="14596" max="14596" width="12.140625" style="77" customWidth="1"/>
    <col min="14597" max="14598" width="11.42578125" style="77"/>
    <col min="14599" max="14600" width="9.28515625" style="77" customWidth="1"/>
    <col min="14601" max="14848" width="11.42578125" style="77"/>
    <col min="14849" max="14850" width="9.28515625" style="77" customWidth="1"/>
    <col min="14851" max="14851" width="10.7109375" style="77" customWidth="1"/>
    <col min="14852" max="14852" width="12.140625" style="77" customWidth="1"/>
    <col min="14853" max="14854" width="11.42578125" style="77"/>
    <col min="14855" max="14856" width="9.28515625" style="77" customWidth="1"/>
    <col min="14857" max="15104" width="11.42578125" style="77"/>
    <col min="15105" max="15106" width="9.28515625" style="77" customWidth="1"/>
    <col min="15107" max="15107" width="10.7109375" style="77" customWidth="1"/>
    <col min="15108" max="15108" width="12.140625" style="77" customWidth="1"/>
    <col min="15109" max="15110" width="11.42578125" style="77"/>
    <col min="15111" max="15112" width="9.28515625" style="77" customWidth="1"/>
    <col min="15113" max="15360" width="11.42578125" style="77"/>
    <col min="15361" max="15362" width="9.28515625" style="77" customWidth="1"/>
    <col min="15363" max="15363" width="10.7109375" style="77" customWidth="1"/>
    <col min="15364" max="15364" width="12.140625" style="77" customWidth="1"/>
    <col min="15365" max="15366" width="11.42578125" style="77"/>
    <col min="15367" max="15368" width="9.28515625" style="77" customWidth="1"/>
    <col min="15369" max="15616" width="11.42578125" style="77"/>
    <col min="15617" max="15618" width="9.28515625" style="77" customWidth="1"/>
    <col min="15619" max="15619" width="10.7109375" style="77" customWidth="1"/>
    <col min="15620" max="15620" width="12.140625" style="77" customWidth="1"/>
    <col min="15621" max="15622" width="11.42578125" style="77"/>
    <col min="15623" max="15624" width="9.28515625" style="77" customWidth="1"/>
    <col min="15625" max="15872" width="11.42578125" style="77"/>
    <col min="15873" max="15874" width="9.28515625" style="77" customWidth="1"/>
    <col min="15875" max="15875" width="10.7109375" style="77" customWidth="1"/>
    <col min="15876" max="15876" width="12.140625" style="77" customWidth="1"/>
    <col min="15877" max="15878" width="11.42578125" style="77"/>
    <col min="15879" max="15880" width="9.28515625" style="77" customWidth="1"/>
    <col min="15881" max="16128" width="11.42578125" style="77"/>
    <col min="16129" max="16130" width="9.28515625" style="77" customWidth="1"/>
    <col min="16131" max="16131" width="10.7109375" style="77" customWidth="1"/>
    <col min="16132" max="16132" width="12.140625" style="77" customWidth="1"/>
    <col min="16133" max="16134" width="11.42578125" style="77"/>
    <col min="16135" max="16136" width="9.28515625" style="77" customWidth="1"/>
    <col min="16137" max="16384" width="11.42578125" style="77"/>
  </cols>
  <sheetData>
    <row r="1" spans="1:8" ht="18" x14ac:dyDescent="0.2">
      <c r="A1" s="470"/>
      <c r="B1" s="471"/>
      <c r="C1" s="476" t="s">
        <v>160</v>
      </c>
      <c r="D1" s="477"/>
      <c r="E1" s="477"/>
      <c r="F1" s="478"/>
      <c r="G1" s="470"/>
      <c r="H1" s="471"/>
    </row>
    <row r="2" spans="1:8" x14ac:dyDescent="0.2">
      <c r="A2" s="472"/>
      <c r="B2" s="473"/>
      <c r="C2" s="479" t="s">
        <v>85</v>
      </c>
      <c r="D2" s="480"/>
      <c r="E2" s="480"/>
      <c r="F2" s="481"/>
      <c r="G2" s="472"/>
      <c r="H2" s="473"/>
    </row>
    <row r="3" spans="1:8" x14ac:dyDescent="0.2">
      <c r="A3" s="472"/>
      <c r="B3" s="473"/>
      <c r="C3" s="78"/>
      <c r="D3" s="79"/>
      <c r="E3" s="79"/>
      <c r="F3" s="80"/>
      <c r="G3" s="472"/>
      <c r="H3" s="473"/>
    </row>
    <row r="4" spans="1:8" x14ac:dyDescent="0.2">
      <c r="A4" s="472"/>
      <c r="B4" s="473"/>
      <c r="C4" s="479" t="s">
        <v>161</v>
      </c>
      <c r="D4" s="480"/>
      <c r="E4" s="480"/>
      <c r="F4" s="481"/>
      <c r="G4" s="472"/>
      <c r="H4" s="473"/>
    </row>
    <row r="5" spans="1:8" x14ac:dyDescent="0.2">
      <c r="A5" s="472"/>
      <c r="B5" s="473"/>
      <c r="C5" s="479" t="s">
        <v>162</v>
      </c>
      <c r="D5" s="480"/>
      <c r="E5" s="480"/>
      <c r="F5" s="481"/>
      <c r="G5" s="472"/>
      <c r="H5" s="473"/>
    </row>
    <row r="6" spans="1:8" ht="13.5" thickBot="1" x14ac:dyDescent="0.25">
      <c r="A6" s="474"/>
      <c r="B6" s="475"/>
      <c r="C6" s="81"/>
      <c r="D6" s="82"/>
      <c r="E6" s="82"/>
      <c r="F6" s="83"/>
      <c r="G6" s="474"/>
      <c r="H6" s="475"/>
    </row>
    <row r="8" spans="1:8" ht="13.5" thickBot="1" x14ac:dyDescent="0.25">
      <c r="A8" s="459" t="s">
        <v>163</v>
      </c>
      <c r="B8" s="459"/>
      <c r="C8" s="459"/>
      <c r="D8" s="459"/>
      <c r="E8" s="459"/>
      <c r="F8" s="459"/>
      <c r="G8" s="459"/>
      <c r="H8" s="459"/>
    </row>
    <row r="9" spans="1:8" ht="13.5" thickBot="1" x14ac:dyDescent="0.25">
      <c r="A9" s="84"/>
      <c r="B9" s="84"/>
      <c r="C9" s="84"/>
      <c r="D9" s="84"/>
      <c r="E9" s="84"/>
      <c r="F9" s="84"/>
      <c r="G9" s="405" t="s">
        <v>259</v>
      </c>
      <c r="H9" s="406"/>
    </row>
    <row r="10" spans="1:8" ht="13.5" thickBot="1" x14ac:dyDescent="0.25"/>
    <row r="11" spans="1:8" ht="73.5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ht="12.7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ht="13.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ht="13.5" thickBot="1" x14ac:dyDescent="0.25">
      <c r="A14" s="85"/>
    </row>
    <row r="15" spans="1:8" x14ac:dyDescent="0.2">
      <c r="A15" s="460" t="s">
        <v>369</v>
      </c>
      <c r="B15" s="462" t="s">
        <v>243</v>
      </c>
      <c r="C15" s="463"/>
      <c r="D15" s="463"/>
      <c r="E15" s="463"/>
      <c r="F15" s="464"/>
      <c r="G15" s="460" t="s">
        <v>166</v>
      </c>
      <c r="H15" s="468" t="s">
        <v>102</v>
      </c>
    </row>
    <row r="16" spans="1:8" ht="13.5" thickBot="1" x14ac:dyDescent="0.25">
      <c r="A16" s="461"/>
      <c r="B16" s="465"/>
      <c r="C16" s="466"/>
      <c r="D16" s="466"/>
      <c r="E16" s="466"/>
      <c r="F16" s="467"/>
      <c r="G16" s="461"/>
      <c r="H16" s="469"/>
    </row>
    <row r="17" spans="1:8" x14ac:dyDescent="0.2">
      <c r="A17" s="86" t="s">
        <v>168</v>
      </c>
    </row>
    <row r="18" spans="1:8" x14ac:dyDescent="0.2">
      <c r="A18" s="445" t="s">
        <v>1</v>
      </c>
      <c r="B18" s="445"/>
      <c r="C18" s="445" t="s">
        <v>169</v>
      </c>
      <c r="D18" s="445"/>
      <c r="E18" s="445" t="s">
        <v>170</v>
      </c>
      <c r="F18" s="445"/>
      <c r="G18" s="445" t="s">
        <v>171</v>
      </c>
      <c r="H18" s="445"/>
    </row>
    <row r="19" spans="1:8" x14ac:dyDescent="0.2">
      <c r="A19" s="446" t="s">
        <v>195</v>
      </c>
      <c r="B19" s="447"/>
      <c r="C19" s="441">
        <v>45000</v>
      </c>
      <c r="D19" s="441"/>
      <c r="E19" s="458">
        <v>12</v>
      </c>
      <c r="F19" s="458"/>
      <c r="G19" s="441">
        <f>+C19/E19</f>
        <v>3750</v>
      </c>
      <c r="H19" s="441"/>
    </row>
    <row r="20" spans="1:8" ht="21.75" customHeight="1" x14ac:dyDescent="0.2">
      <c r="A20" s="385" t="s">
        <v>205</v>
      </c>
      <c r="B20" s="401"/>
      <c r="C20" s="391">
        <v>150000</v>
      </c>
      <c r="D20" s="392"/>
      <c r="E20" s="458">
        <v>12</v>
      </c>
      <c r="F20" s="458"/>
      <c r="G20" s="441">
        <f>+C20/E20</f>
        <v>12500</v>
      </c>
      <c r="H20" s="441"/>
    </row>
    <row r="21" spans="1:8" x14ac:dyDescent="0.2">
      <c r="A21" s="446" t="s">
        <v>173</v>
      </c>
      <c r="B21" s="447"/>
      <c r="C21" s="441"/>
      <c r="D21" s="441"/>
      <c r="E21" s="455">
        <v>0.1</v>
      </c>
      <c r="F21" s="456"/>
      <c r="G21" s="441">
        <f>+E21*G42</f>
        <v>2717.1875</v>
      </c>
      <c r="H21" s="441"/>
    </row>
    <row r="22" spans="1:8" x14ac:dyDescent="0.2">
      <c r="A22" s="87"/>
      <c r="B22" s="87"/>
      <c r="C22" s="442" t="s">
        <v>174</v>
      </c>
      <c r="D22" s="442"/>
      <c r="E22" s="442"/>
      <c r="F22" s="442"/>
      <c r="G22" s="441">
        <f>SUM(G19:G21)</f>
        <v>18967.1875</v>
      </c>
      <c r="H22" s="441"/>
    </row>
    <row r="23" spans="1:8" x14ac:dyDescent="0.2">
      <c r="C23" s="88"/>
      <c r="D23" s="88"/>
      <c r="E23" s="88"/>
      <c r="F23" s="88"/>
      <c r="G23" s="89"/>
      <c r="H23" s="89"/>
    </row>
    <row r="24" spans="1:8" x14ac:dyDescent="0.2">
      <c r="A24" s="86" t="s">
        <v>175</v>
      </c>
      <c r="B24" s="87"/>
      <c r="C24" s="87"/>
      <c r="D24" s="87"/>
      <c r="E24" s="87"/>
      <c r="F24" s="87"/>
      <c r="G24" s="87"/>
      <c r="H24" s="87"/>
    </row>
    <row r="25" spans="1:8" x14ac:dyDescent="0.2">
      <c r="A25" s="445" t="s">
        <v>1</v>
      </c>
      <c r="B25" s="445"/>
      <c r="C25" s="90" t="s">
        <v>176</v>
      </c>
      <c r="D25" s="90" t="s">
        <v>177</v>
      </c>
      <c r="E25" s="445" t="s">
        <v>3</v>
      </c>
      <c r="F25" s="445"/>
      <c r="G25" s="445" t="s">
        <v>171</v>
      </c>
      <c r="H25" s="445"/>
    </row>
    <row r="26" spans="1:8" x14ac:dyDescent="0.2">
      <c r="A26" s="446" t="s">
        <v>198</v>
      </c>
      <c r="B26" s="447"/>
      <c r="C26" s="91" t="s">
        <v>199</v>
      </c>
      <c r="D26" s="91">
        <v>80000</v>
      </c>
      <c r="E26" s="458">
        <v>0.05</v>
      </c>
      <c r="F26" s="458"/>
      <c r="G26" s="449">
        <f>+D26*E26</f>
        <v>4000</v>
      </c>
      <c r="H26" s="450"/>
    </row>
    <row r="27" spans="1:8" x14ac:dyDescent="0.2">
      <c r="A27" s="446" t="s">
        <v>200</v>
      </c>
      <c r="B27" s="447"/>
      <c r="C27" s="91" t="s">
        <v>199</v>
      </c>
      <c r="D27" s="91">
        <v>15000</v>
      </c>
      <c r="E27" s="458">
        <v>0.05</v>
      </c>
      <c r="F27" s="458"/>
      <c r="G27" s="449">
        <f>+D27*E27</f>
        <v>750</v>
      </c>
      <c r="H27" s="450"/>
    </row>
    <row r="28" spans="1:8" x14ac:dyDescent="0.2">
      <c r="A28" s="451"/>
      <c r="B28" s="452"/>
      <c r="C28" s="92"/>
      <c r="D28" s="91"/>
      <c r="E28" s="453"/>
      <c r="F28" s="454"/>
      <c r="G28" s="449"/>
      <c r="H28" s="450"/>
    </row>
    <row r="29" spans="1:8" x14ac:dyDescent="0.2">
      <c r="A29" s="93"/>
      <c r="B29" s="93"/>
      <c r="C29" s="442" t="s">
        <v>174</v>
      </c>
      <c r="D29" s="442"/>
      <c r="E29" s="442"/>
      <c r="F29" s="442"/>
      <c r="G29" s="441">
        <f>SUM(G26:G28)</f>
        <v>4750</v>
      </c>
      <c r="H29" s="441"/>
    </row>
    <row r="31" spans="1:8" x14ac:dyDescent="0.2">
      <c r="A31" s="86" t="s">
        <v>181</v>
      </c>
      <c r="B31" s="87"/>
      <c r="C31" s="87"/>
      <c r="D31" s="87"/>
      <c r="E31" s="87"/>
      <c r="F31" s="87"/>
      <c r="G31" s="87"/>
      <c r="H31" s="87"/>
    </row>
    <row r="32" spans="1:8" x14ac:dyDescent="0.2">
      <c r="A32" s="445" t="s">
        <v>182</v>
      </c>
      <c r="B32" s="445"/>
      <c r="C32" s="94" t="s">
        <v>183</v>
      </c>
      <c r="D32" s="95" t="s">
        <v>184</v>
      </c>
      <c r="E32" s="445" t="s">
        <v>185</v>
      </c>
      <c r="F32" s="445"/>
      <c r="G32" s="445" t="s">
        <v>171</v>
      </c>
      <c r="H32" s="445"/>
    </row>
    <row r="33" spans="1:8" x14ac:dyDescent="0.2">
      <c r="A33" s="440"/>
      <c r="B33" s="440"/>
      <c r="C33" s="92"/>
      <c r="D33" s="92"/>
      <c r="E33" s="441"/>
      <c r="F33" s="441"/>
      <c r="G33" s="441"/>
      <c r="H33" s="441"/>
    </row>
    <row r="34" spans="1:8" x14ac:dyDescent="0.2">
      <c r="A34" s="440"/>
      <c r="B34" s="440"/>
      <c r="C34" s="92"/>
      <c r="D34" s="92"/>
      <c r="E34" s="441"/>
      <c r="F34" s="441"/>
      <c r="G34" s="441"/>
      <c r="H34" s="441"/>
    </row>
    <row r="35" spans="1:8" x14ac:dyDescent="0.2">
      <c r="A35" s="440"/>
      <c r="B35" s="440"/>
      <c r="C35" s="92"/>
      <c r="D35" s="92"/>
      <c r="E35" s="441"/>
      <c r="F35" s="441"/>
      <c r="G35" s="441"/>
      <c r="H35" s="441"/>
    </row>
    <row r="36" spans="1:8" x14ac:dyDescent="0.2">
      <c r="A36" s="93"/>
      <c r="B36" s="93"/>
      <c r="C36" s="442" t="s">
        <v>174</v>
      </c>
      <c r="D36" s="442"/>
      <c r="E36" s="442"/>
      <c r="F36" s="442"/>
      <c r="G36" s="441"/>
      <c r="H36" s="441"/>
    </row>
    <row r="38" spans="1:8" x14ac:dyDescent="0.2">
      <c r="A38" s="86" t="s">
        <v>186</v>
      </c>
      <c r="B38" s="87"/>
      <c r="C38" s="87"/>
      <c r="D38" s="87"/>
      <c r="E38" s="87"/>
      <c r="F38" s="87"/>
      <c r="G38" s="87"/>
      <c r="H38" s="87"/>
    </row>
    <row r="39" spans="1:8" x14ac:dyDescent="0.2">
      <c r="A39" s="445" t="s">
        <v>187</v>
      </c>
      <c r="B39" s="445"/>
      <c r="C39" s="90" t="s">
        <v>188</v>
      </c>
      <c r="D39" s="95" t="s">
        <v>189</v>
      </c>
      <c r="E39" s="96" t="s">
        <v>190</v>
      </c>
      <c r="F39" s="97" t="s">
        <v>170</v>
      </c>
      <c r="G39" s="445" t="s">
        <v>171</v>
      </c>
      <c r="H39" s="445"/>
    </row>
    <row r="40" spans="1:8" x14ac:dyDescent="0.2">
      <c r="A40" s="446" t="s">
        <v>201</v>
      </c>
      <c r="B40" s="447"/>
      <c r="C40" s="91">
        <v>60000</v>
      </c>
      <c r="D40" s="98">
        <v>0.85</v>
      </c>
      <c r="E40" s="91">
        <f>+((C40*D40)+C40)</f>
        <v>111000</v>
      </c>
      <c r="F40" s="99">
        <v>16</v>
      </c>
      <c r="G40" s="441">
        <f>+E40/F40</f>
        <v>6937.5</v>
      </c>
      <c r="H40" s="441"/>
    </row>
    <row r="41" spans="1:8" x14ac:dyDescent="0.2">
      <c r="A41" s="440" t="s">
        <v>244</v>
      </c>
      <c r="B41" s="440"/>
      <c r="C41" s="91">
        <f>35000*5</f>
        <v>175000</v>
      </c>
      <c r="D41" s="98">
        <v>0.85</v>
      </c>
      <c r="E41" s="91">
        <f>+((C41*D41)+C41)</f>
        <v>323750</v>
      </c>
      <c r="F41" s="99">
        <v>16</v>
      </c>
      <c r="G41" s="441">
        <f>+E41/F41</f>
        <v>20234.375</v>
      </c>
      <c r="H41" s="441"/>
    </row>
    <row r="42" spans="1:8" x14ac:dyDescent="0.2">
      <c r="A42" s="93"/>
      <c r="B42" s="93"/>
      <c r="C42" s="442" t="s">
        <v>174</v>
      </c>
      <c r="D42" s="442"/>
      <c r="E42" s="442"/>
      <c r="F42" s="442"/>
      <c r="G42" s="441">
        <f>SUM(G40:H41)</f>
        <v>27171.875</v>
      </c>
      <c r="H42" s="441"/>
    </row>
    <row r="45" spans="1:8" x14ac:dyDescent="0.2">
      <c r="A45" s="443" t="s">
        <v>193</v>
      </c>
      <c r="B45" s="443"/>
      <c r="C45" s="443"/>
      <c r="D45" s="443"/>
      <c r="E45" s="443"/>
      <c r="F45" s="443"/>
      <c r="G45" s="711">
        <f>+ROUND(G22+G29+G36+G42,0)</f>
        <v>50889</v>
      </c>
      <c r="H45" s="711"/>
    </row>
    <row r="46" spans="1:8" x14ac:dyDescent="0.2">
      <c r="G46" s="308">
        <f>+G45</f>
        <v>50889</v>
      </c>
    </row>
  </sheetData>
  <mergeCells count="69">
    <mergeCell ref="A41:B41"/>
    <mergeCell ref="G41:H41"/>
    <mergeCell ref="C42:F42"/>
    <mergeCell ref="G42:H42"/>
    <mergeCell ref="A45:F45"/>
    <mergeCell ref="G45:H45"/>
    <mergeCell ref="C36:F36"/>
    <mergeCell ref="G36:H36"/>
    <mergeCell ref="A39:B39"/>
    <mergeCell ref="G39:H39"/>
    <mergeCell ref="A40:B40"/>
    <mergeCell ref="G40:H40"/>
    <mergeCell ref="A34:B34"/>
    <mergeCell ref="E34:F34"/>
    <mergeCell ref="G34:H34"/>
    <mergeCell ref="A35:B35"/>
    <mergeCell ref="E35:F35"/>
    <mergeCell ref="G35:H35"/>
    <mergeCell ref="A33:B33"/>
    <mergeCell ref="E33:F33"/>
    <mergeCell ref="G33:H33"/>
    <mergeCell ref="A27:B27"/>
    <mergeCell ref="E27:F27"/>
    <mergeCell ref="G27:H27"/>
    <mergeCell ref="A28:B28"/>
    <mergeCell ref="E28:F28"/>
    <mergeCell ref="G28:H28"/>
    <mergeCell ref="C29:F29"/>
    <mergeCell ref="G29:H29"/>
    <mergeCell ref="A32:B32"/>
    <mergeCell ref="E32:F32"/>
    <mergeCell ref="G32:H32"/>
    <mergeCell ref="A26:B26"/>
    <mergeCell ref="E26:F26"/>
    <mergeCell ref="G26:H26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44"/>
  <sheetViews>
    <sheetView workbookViewId="0">
      <selection activeCell="G43" sqref="G43:H43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9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9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9" x14ac:dyDescent="0.25">
      <c r="A3" s="430"/>
      <c r="B3" s="431"/>
      <c r="C3" s="51"/>
      <c r="D3" s="52"/>
      <c r="E3" s="52"/>
      <c r="F3" s="53"/>
      <c r="G3" s="430"/>
      <c r="H3" s="431"/>
    </row>
    <row r="4" spans="1:9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9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9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9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9" ht="15.75" thickBot="1" x14ac:dyDescent="0.3">
      <c r="A9" s="57"/>
      <c r="B9" s="57"/>
      <c r="C9" s="57"/>
      <c r="D9" s="57"/>
      <c r="E9" s="57"/>
      <c r="F9" s="57"/>
      <c r="G9" s="405" t="s">
        <v>259</v>
      </c>
      <c r="H9" s="406"/>
    </row>
    <row r="10" spans="1:9" ht="15.75" thickBot="1" x14ac:dyDescent="0.3"/>
    <row r="11" spans="1:9" ht="61.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  <c r="I11" s="307"/>
    </row>
    <row r="12" spans="1:9" x14ac:dyDescent="0.25">
      <c r="A12" s="410"/>
      <c r="B12" s="411"/>
      <c r="C12" s="411"/>
      <c r="D12" s="411"/>
      <c r="E12" s="411"/>
      <c r="F12" s="411"/>
      <c r="G12" s="411"/>
      <c r="H12" s="412"/>
    </row>
    <row r="13" spans="1:9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9" ht="15.75" thickBot="1" x14ac:dyDescent="0.3">
      <c r="A14" s="58"/>
    </row>
    <row r="15" spans="1:9" ht="12.75" customHeight="1" x14ac:dyDescent="0.25">
      <c r="A15" s="416" t="s">
        <v>164</v>
      </c>
      <c r="B15" s="418" t="s">
        <v>165</v>
      </c>
      <c r="C15" s="419"/>
      <c r="D15" s="419"/>
      <c r="E15" s="419"/>
      <c r="F15" s="420"/>
      <c r="G15" s="424" t="s">
        <v>166</v>
      </c>
      <c r="H15" s="426" t="s">
        <v>167</v>
      </c>
    </row>
    <row r="16" spans="1:9" ht="22.5" customHeight="1" thickBot="1" x14ac:dyDescent="0.3">
      <c r="A16" s="417"/>
      <c r="B16" s="421"/>
      <c r="C16" s="422"/>
      <c r="D16" s="422"/>
      <c r="E16" s="422"/>
      <c r="F16" s="423"/>
      <c r="G16" s="425"/>
      <c r="H16" s="427"/>
    </row>
    <row r="17" spans="1:11" x14ac:dyDescent="0.25">
      <c r="A17" s="59" t="s">
        <v>168</v>
      </c>
    </row>
    <row r="18" spans="1:11" x14ac:dyDescent="0.25">
      <c r="A18" s="384" t="s">
        <v>1</v>
      </c>
      <c r="B18" s="384"/>
      <c r="C18" s="384" t="s">
        <v>169</v>
      </c>
      <c r="D18" s="384"/>
      <c r="E18" s="384" t="s">
        <v>170</v>
      </c>
      <c r="F18" s="384"/>
      <c r="G18" s="384" t="s">
        <v>171</v>
      </c>
      <c r="H18" s="384"/>
    </row>
    <row r="19" spans="1:11" ht="25.5" customHeight="1" x14ac:dyDescent="0.25">
      <c r="A19" s="385" t="s">
        <v>172</v>
      </c>
      <c r="B19" s="401"/>
      <c r="C19" s="391">
        <v>11563</v>
      </c>
      <c r="D19" s="392"/>
      <c r="E19" s="402">
        <v>20</v>
      </c>
      <c r="F19" s="403"/>
      <c r="G19" s="391">
        <f>+C19/E19</f>
        <v>578.15</v>
      </c>
      <c r="H19" s="392"/>
    </row>
    <row r="20" spans="1:11" x14ac:dyDescent="0.25">
      <c r="A20" s="393"/>
      <c r="B20" s="394"/>
      <c r="C20" s="391"/>
      <c r="D20" s="392"/>
      <c r="E20" s="395"/>
      <c r="F20" s="396"/>
      <c r="G20" s="391"/>
      <c r="H20" s="392"/>
    </row>
    <row r="21" spans="1:11" x14ac:dyDescent="0.25">
      <c r="A21" s="397" t="s">
        <v>173</v>
      </c>
      <c r="B21" s="398"/>
      <c r="C21" s="399"/>
      <c r="D21" s="399"/>
      <c r="E21" s="400">
        <v>0.1</v>
      </c>
      <c r="F21" s="399"/>
      <c r="G21" s="388">
        <f>+G40*E21</f>
        <v>111.77083333333336</v>
      </c>
      <c r="H21" s="388"/>
      <c r="K21" s="61"/>
    </row>
    <row r="22" spans="1:11" x14ac:dyDescent="0.25">
      <c r="C22" s="387" t="s">
        <v>174</v>
      </c>
      <c r="D22" s="387"/>
      <c r="E22" s="387"/>
      <c r="F22" s="387"/>
      <c r="G22" s="388">
        <f>+G19+G20+G21</f>
        <v>689.92083333333335</v>
      </c>
      <c r="H22" s="388"/>
    </row>
    <row r="23" spans="1:11" x14ac:dyDescent="0.25">
      <c r="C23" s="62"/>
      <c r="D23" s="62"/>
      <c r="E23" s="62"/>
      <c r="F23" s="62"/>
      <c r="G23" s="63"/>
      <c r="H23" s="63"/>
    </row>
    <row r="24" spans="1:11" x14ac:dyDescent="0.25">
      <c r="A24" s="59" t="s">
        <v>175</v>
      </c>
    </row>
    <row r="25" spans="1:11" x14ac:dyDescent="0.25">
      <c r="A25" s="384" t="s">
        <v>1</v>
      </c>
      <c r="B25" s="384"/>
      <c r="C25" s="64" t="s">
        <v>176</v>
      </c>
      <c r="D25" s="64" t="s">
        <v>177</v>
      </c>
      <c r="E25" s="384" t="s">
        <v>3</v>
      </c>
      <c r="F25" s="384"/>
      <c r="G25" s="384" t="s">
        <v>171</v>
      </c>
      <c r="H25" s="384"/>
    </row>
    <row r="26" spans="1:11" x14ac:dyDescent="0.25">
      <c r="A26" s="379" t="s">
        <v>178</v>
      </c>
      <c r="B26" s="379"/>
      <c r="C26" s="66" t="s">
        <v>52</v>
      </c>
      <c r="D26" s="67">
        <v>600</v>
      </c>
      <c r="E26" s="389">
        <v>2</v>
      </c>
      <c r="F26" s="390"/>
      <c r="G26" s="391">
        <f>+D26*E26</f>
        <v>1200</v>
      </c>
      <c r="H26" s="392"/>
    </row>
    <row r="27" spans="1:11" x14ac:dyDescent="0.25">
      <c r="A27" s="379" t="s">
        <v>179</v>
      </c>
      <c r="B27" s="379"/>
      <c r="C27" s="66" t="s">
        <v>180</v>
      </c>
      <c r="D27" s="67">
        <v>3800</v>
      </c>
      <c r="E27" s="389">
        <v>0.01</v>
      </c>
      <c r="F27" s="390"/>
      <c r="G27" s="391">
        <f>+D27*E27</f>
        <v>38</v>
      </c>
      <c r="H27" s="392"/>
    </row>
    <row r="28" spans="1:11" x14ac:dyDescent="0.25">
      <c r="A28" s="70"/>
      <c r="B28" s="70"/>
      <c r="C28" s="381" t="s">
        <v>174</v>
      </c>
      <c r="D28" s="381"/>
      <c r="E28" s="381"/>
      <c r="F28" s="381"/>
      <c r="G28" s="380">
        <f>SUM(G26:H27)</f>
        <v>1238</v>
      </c>
      <c r="H28" s="380"/>
    </row>
    <row r="30" spans="1:11" x14ac:dyDescent="0.25">
      <c r="A30" s="59" t="s">
        <v>181</v>
      </c>
    </row>
    <row r="31" spans="1:11" x14ac:dyDescent="0.25">
      <c r="A31" s="384" t="s">
        <v>182</v>
      </c>
      <c r="B31" s="384"/>
      <c r="C31" s="64" t="s">
        <v>183</v>
      </c>
      <c r="D31" s="72" t="s">
        <v>184</v>
      </c>
      <c r="E31" s="384" t="s">
        <v>185</v>
      </c>
      <c r="F31" s="384"/>
      <c r="G31" s="384" t="s">
        <v>171</v>
      </c>
      <c r="H31" s="384"/>
    </row>
    <row r="32" spans="1:11" x14ac:dyDescent="0.25">
      <c r="A32" s="385"/>
      <c r="B32" s="386"/>
      <c r="C32" s="73"/>
      <c r="D32" s="73"/>
      <c r="E32" s="380"/>
      <c r="F32" s="380"/>
      <c r="G32" s="380"/>
      <c r="H32" s="380"/>
    </row>
    <row r="33" spans="1:8" x14ac:dyDescent="0.25">
      <c r="A33" s="379"/>
      <c r="B33" s="379"/>
      <c r="C33" s="66"/>
      <c r="D33" s="66"/>
      <c r="E33" s="380"/>
      <c r="F33" s="380"/>
      <c r="G33" s="380"/>
      <c r="H33" s="380"/>
    </row>
    <row r="34" spans="1:8" x14ac:dyDescent="0.25">
      <c r="A34" s="70"/>
      <c r="B34" s="70"/>
      <c r="C34" s="381" t="s">
        <v>174</v>
      </c>
      <c r="D34" s="381"/>
      <c r="E34" s="381"/>
      <c r="F34" s="381"/>
      <c r="G34" s="380">
        <f>+G32</f>
        <v>0</v>
      </c>
      <c r="H34" s="380"/>
    </row>
    <row r="36" spans="1:8" x14ac:dyDescent="0.25">
      <c r="A36" s="59" t="s">
        <v>186</v>
      </c>
    </row>
    <row r="37" spans="1:8" x14ac:dyDescent="0.25">
      <c r="A37" s="384" t="s">
        <v>187</v>
      </c>
      <c r="B37" s="384"/>
      <c r="C37" s="64" t="s">
        <v>188</v>
      </c>
      <c r="D37" s="72" t="s">
        <v>189</v>
      </c>
      <c r="E37" s="64" t="s">
        <v>190</v>
      </c>
      <c r="F37" s="74" t="s">
        <v>170</v>
      </c>
      <c r="G37" s="384" t="s">
        <v>171</v>
      </c>
      <c r="H37" s="384"/>
    </row>
    <row r="38" spans="1:8" x14ac:dyDescent="0.25">
      <c r="A38" s="379" t="s">
        <v>191</v>
      </c>
      <c r="B38" s="379"/>
      <c r="C38" s="67">
        <v>75000</v>
      </c>
      <c r="D38" s="75">
        <v>0.85</v>
      </c>
      <c r="E38" s="67">
        <f>+((C38*D38)+C38)</f>
        <v>138750</v>
      </c>
      <c r="F38" s="76">
        <v>240</v>
      </c>
      <c r="G38" s="380">
        <f>+E38/F38</f>
        <v>578.125</v>
      </c>
      <c r="H38" s="380"/>
    </row>
    <row r="39" spans="1:8" x14ac:dyDescent="0.25">
      <c r="A39" s="379" t="s">
        <v>192</v>
      </c>
      <c r="B39" s="379"/>
      <c r="C39" s="67">
        <v>70000</v>
      </c>
      <c r="D39" s="75">
        <v>0.85</v>
      </c>
      <c r="E39" s="67">
        <f>+((C39*D39)+C39)</f>
        <v>129500</v>
      </c>
      <c r="F39" s="76">
        <v>240</v>
      </c>
      <c r="G39" s="380">
        <f>+E39/F39</f>
        <v>539.58333333333337</v>
      </c>
      <c r="H39" s="380"/>
    </row>
    <row r="40" spans="1:8" x14ac:dyDescent="0.25">
      <c r="A40" s="70"/>
      <c r="B40" s="70"/>
      <c r="C40" s="381" t="s">
        <v>174</v>
      </c>
      <c r="D40" s="381"/>
      <c r="E40" s="381"/>
      <c r="F40" s="381"/>
      <c r="G40" s="380">
        <f>SUM(G38:H39)</f>
        <v>1117.7083333333335</v>
      </c>
      <c r="H40" s="380"/>
    </row>
    <row r="43" spans="1:8" x14ac:dyDescent="0.25">
      <c r="A43" s="382" t="s">
        <v>193</v>
      </c>
      <c r="B43" s="382"/>
      <c r="C43" s="382"/>
      <c r="D43" s="382"/>
      <c r="E43" s="382"/>
      <c r="F43" s="382"/>
      <c r="G43" s="383">
        <f>+ROUND(G22+G28+G34+G40,0)</f>
        <v>3046</v>
      </c>
      <c r="H43" s="383"/>
    </row>
    <row r="44" spans="1:8" x14ac:dyDescent="0.25">
      <c r="G44" s="309">
        <f>+G43</f>
        <v>3046</v>
      </c>
    </row>
  </sheetData>
  <mergeCells count="63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31:B31"/>
    <mergeCell ref="E31:F31"/>
    <mergeCell ref="G31:H31"/>
    <mergeCell ref="C22:F22"/>
    <mergeCell ref="G22:H22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32:B32"/>
    <mergeCell ref="E32:F32"/>
    <mergeCell ref="G32:H32"/>
    <mergeCell ref="A33:B33"/>
    <mergeCell ref="E33:F33"/>
    <mergeCell ref="G33:H33"/>
    <mergeCell ref="C34:F34"/>
    <mergeCell ref="G34:H34"/>
    <mergeCell ref="A37:B37"/>
    <mergeCell ref="G37:H37"/>
    <mergeCell ref="A38:B38"/>
    <mergeCell ref="G38:H38"/>
    <mergeCell ref="A39:B39"/>
    <mergeCell ref="G39:H39"/>
    <mergeCell ref="C40:F40"/>
    <mergeCell ref="G40:H40"/>
    <mergeCell ref="A43:F43"/>
    <mergeCell ref="G43:H43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workbookViewId="0">
      <selection activeCell="G44" sqref="G44:H44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4.28515625" customWidth="1"/>
    <col min="8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>
      <c r="A10" s="46"/>
      <c r="B10" s="46"/>
      <c r="C10" s="46"/>
      <c r="D10" s="46"/>
      <c r="E10" s="46"/>
      <c r="F10" s="46"/>
      <c r="G10" s="46"/>
      <c r="H10" s="46"/>
    </row>
    <row r="11" spans="1:8" ht="67.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24" t="s">
        <v>368</v>
      </c>
      <c r="B15" s="418" t="s">
        <v>258</v>
      </c>
      <c r="C15" s="419"/>
      <c r="D15" s="419"/>
      <c r="E15" s="419"/>
      <c r="F15" s="420"/>
      <c r="G15" s="424" t="s">
        <v>166</v>
      </c>
      <c r="H15" s="426" t="s">
        <v>51</v>
      </c>
    </row>
    <row r="16" spans="1:8" ht="12.75" customHeight="1" x14ac:dyDescent="0.25">
      <c r="A16" s="694"/>
      <c r="B16" s="696"/>
      <c r="C16" s="697"/>
      <c r="D16" s="697"/>
      <c r="E16" s="697"/>
      <c r="F16" s="698"/>
      <c r="G16" s="694"/>
      <c r="H16" s="702"/>
    </row>
    <row r="17" spans="1:8" ht="15.75" thickBot="1" x14ac:dyDescent="0.3">
      <c r="A17" s="695"/>
      <c r="B17" s="699"/>
      <c r="C17" s="700"/>
      <c r="D17" s="700"/>
      <c r="E17" s="700"/>
      <c r="F17" s="701"/>
      <c r="G17" s="695"/>
      <c r="H17" s="703"/>
    </row>
    <row r="18" spans="1:8" x14ac:dyDescent="0.25">
      <c r="A18" s="119" t="s">
        <v>168</v>
      </c>
    </row>
    <row r="19" spans="1:8" x14ac:dyDescent="0.25">
      <c r="A19" s="704" t="s">
        <v>1</v>
      </c>
      <c r="B19" s="704"/>
      <c r="C19" s="704" t="s">
        <v>169</v>
      </c>
      <c r="D19" s="704"/>
      <c r="E19" s="704" t="s">
        <v>170</v>
      </c>
      <c r="F19" s="704"/>
      <c r="G19" s="704" t="s">
        <v>171</v>
      </c>
      <c r="H19" s="704"/>
    </row>
    <row r="20" spans="1:8" ht="38.25" customHeight="1" x14ac:dyDescent="0.25">
      <c r="A20" s="385" t="s">
        <v>225</v>
      </c>
      <c r="B20" s="401"/>
      <c r="C20" s="380">
        <v>150000</v>
      </c>
      <c r="D20" s="380"/>
      <c r="E20" s="542">
        <v>12</v>
      </c>
      <c r="F20" s="542"/>
      <c r="G20" s="380">
        <f>+C20*E20</f>
        <v>1800000</v>
      </c>
      <c r="H20" s="380"/>
    </row>
    <row r="21" spans="1:8" ht="12.75" customHeight="1" x14ac:dyDescent="0.25">
      <c r="A21" s="397" t="s">
        <v>173</v>
      </c>
      <c r="B21" s="398"/>
      <c r="C21" s="399"/>
      <c r="D21" s="399"/>
      <c r="E21" s="400">
        <v>0.1</v>
      </c>
      <c r="F21" s="399"/>
      <c r="G21" s="388">
        <f>+E21*G41</f>
        <v>9712.5</v>
      </c>
      <c r="H21" s="388"/>
    </row>
    <row r="22" spans="1:8" x14ac:dyDescent="0.25">
      <c r="C22" s="387" t="s">
        <v>174</v>
      </c>
      <c r="D22" s="387"/>
      <c r="E22" s="387"/>
      <c r="F22" s="387"/>
      <c r="G22" s="388">
        <f>SUM(G20:H21)</f>
        <v>1809712.5</v>
      </c>
      <c r="H22" s="388"/>
    </row>
    <row r="23" spans="1:8" x14ac:dyDescent="0.25">
      <c r="C23" s="62"/>
      <c r="D23" s="62"/>
      <c r="E23" s="62"/>
      <c r="F23" s="62"/>
      <c r="G23" s="63"/>
      <c r="H23" s="63"/>
    </row>
    <row r="24" spans="1:8" x14ac:dyDescent="0.25">
      <c r="A24" s="119" t="s">
        <v>175</v>
      </c>
    </row>
    <row r="25" spans="1:8" x14ac:dyDescent="0.25">
      <c r="A25" s="704" t="s">
        <v>1</v>
      </c>
      <c r="B25" s="704"/>
      <c r="C25" s="120" t="s">
        <v>176</v>
      </c>
      <c r="D25" s="120" t="s">
        <v>177</v>
      </c>
      <c r="E25" s="704" t="s">
        <v>3</v>
      </c>
      <c r="F25" s="704"/>
      <c r="G25" s="704" t="s">
        <v>171</v>
      </c>
      <c r="H25" s="704"/>
    </row>
    <row r="26" spans="1:8" x14ac:dyDescent="0.25">
      <c r="A26" s="379"/>
      <c r="B26" s="379"/>
      <c r="C26" s="65"/>
      <c r="D26" s="67"/>
      <c r="E26" s="389"/>
      <c r="F26" s="390"/>
      <c r="G26" s="391"/>
      <c r="H26" s="392"/>
    </row>
    <row r="27" spans="1:8" x14ac:dyDescent="0.25">
      <c r="A27" s="379"/>
      <c r="B27" s="379"/>
      <c r="C27" s="65"/>
      <c r="D27" s="67"/>
      <c r="E27" s="389"/>
      <c r="F27" s="390"/>
      <c r="G27" s="391"/>
      <c r="H27" s="392"/>
    </row>
    <row r="28" spans="1:8" x14ac:dyDescent="0.25">
      <c r="A28" s="122"/>
      <c r="B28" s="122"/>
      <c r="C28" s="387" t="s">
        <v>174</v>
      </c>
      <c r="D28" s="387"/>
      <c r="E28" s="387"/>
      <c r="F28" s="387"/>
      <c r="G28" s="388">
        <f>SUM(G26:H27)</f>
        <v>0</v>
      </c>
      <c r="H28" s="388"/>
    </row>
    <row r="30" spans="1:8" x14ac:dyDescent="0.25">
      <c r="A30" s="119" t="s">
        <v>181</v>
      </c>
    </row>
    <row r="31" spans="1:8" x14ac:dyDescent="0.25">
      <c r="A31" s="704" t="s">
        <v>182</v>
      </c>
      <c r="B31" s="704"/>
      <c r="C31" s="123" t="s">
        <v>183</v>
      </c>
      <c r="D31" s="124" t="s">
        <v>184</v>
      </c>
      <c r="E31" s="704" t="s">
        <v>185</v>
      </c>
      <c r="F31" s="704"/>
      <c r="G31" s="704" t="s">
        <v>171</v>
      </c>
      <c r="H31" s="704"/>
    </row>
    <row r="32" spans="1:8" x14ac:dyDescent="0.25">
      <c r="A32" s="705"/>
      <c r="B32" s="705"/>
      <c r="C32" s="125"/>
      <c r="D32" s="125"/>
      <c r="E32" s="388"/>
      <c r="F32" s="388"/>
      <c r="G32" s="388"/>
      <c r="H32" s="388"/>
    </row>
    <row r="33" spans="1:8" x14ac:dyDescent="0.25">
      <c r="A33" s="705"/>
      <c r="B33" s="705"/>
      <c r="C33" s="125"/>
      <c r="D33" s="125"/>
      <c r="E33" s="388"/>
      <c r="F33" s="388"/>
      <c r="G33" s="388"/>
      <c r="H33" s="388"/>
    </row>
    <row r="34" spans="1:8" x14ac:dyDescent="0.25">
      <c r="A34" s="705"/>
      <c r="B34" s="705"/>
      <c r="C34" s="125"/>
      <c r="D34" s="125"/>
      <c r="E34" s="388"/>
      <c r="F34" s="388"/>
      <c r="G34" s="388"/>
      <c r="H34" s="388"/>
    </row>
    <row r="35" spans="1:8" x14ac:dyDescent="0.25">
      <c r="A35" s="122"/>
      <c r="B35" s="122"/>
      <c r="C35" s="387" t="s">
        <v>174</v>
      </c>
      <c r="D35" s="387"/>
      <c r="E35" s="387"/>
      <c r="F35" s="387"/>
      <c r="G35" s="388">
        <f>SUM(G32:H34)</f>
        <v>0</v>
      </c>
      <c r="H35" s="388"/>
    </row>
    <row r="37" spans="1:8" x14ac:dyDescent="0.25">
      <c r="A37" s="119" t="s">
        <v>186</v>
      </c>
    </row>
    <row r="38" spans="1:8" x14ac:dyDescent="0.25">
      <c r="A38" s="704" t="s">
        <v>187</v>
      </c>
      <c r="B38" s="704"/>
      <c r="C38" s="123" t="s">
        <v>188</v>
      </c>
      <c r="D38" s="124" t="s">
        <v>189</v>
      </c>
      <c r="E38" s="126" t="s">
        <v>190</v>
      </c>
      <c r="F38" s="127" t="s">
        <v>170</v>
      </c>
      <c r="G38" s="704" t="s">
        <v>171</v>
      </c>
      <c r="H38" s="704"/>
    </row>
    <row r="39" spans="1:8" x14ac:dyDescent="0.25">
      <c r="A39" s="397" t="s">
        <v>223</v>
      </c>
      <c r="B39" s="398"/>
      <c r="C39" s="128">
        <f>35000*3</f>
        <v>105000</v>
      </c>
      <c r="D39" s="129">
        <v>0.85</v>
      </c>
      <c r="E39" s="128">
        <f>+((C39*D39)+C39)</f>
        <v>194250</v>
      </c>
      <c r="F39" s="113">
        <v>2</v>
      </c>
      <c r="G39" s="441">
        <f>+E39/F39</f>
        <v>97125</v>
      </c>
      <c r="H39" s="441"/>
    </row>
    <row r="40" spans="1:8" x14ac:dyDescent="0.25">
      <c r="A40" s="397"/>
      <c r="B40" s="398"/>
      <c r="C40" s="128"/>
      <c r="D40" s="129"/>
      <c r="E40" s="128"/>
      <c r="F40" s="113"/>
      <c r="G40" s="706"/>
      <c r="H40" s="707"/>
    </row>
    <row r="41" spans="1:8" x14ac:dyDescent="0.25">
      <c r="A41" s="122"/>
      <c r="B41" s="122"/>
      <c r="C41" s="387" t="s">
        <v>174</v>
      </c>
      <c r="D41" s="387"/>
      <c r="E41" s="387"/>
      <c r="F41" s="387"/>
      <c r="G41" s="388">
        <f>SUM(G39:H40)</f>
        <v>97125</v>
      </c>
      <c r="H41" s="388"/>
    </row>
    <row r="44" spans="1:8" x14ac:dyDescent="0.25">
      <c r="A44" s="382" t="s">
        <v>193</v>
      </c>
      <c r="B44" s="382"/>
      <c r="C44" s="382"/>
      <c r="D44" s="382"/>
      <c r="E44" s="382"/>
      <c r="F44" s="382"/>
      <c r="G44" s="383">
        <f>+ROUND(G22+G28+G35+G41,0)</f>
        <v>1906838</v>
      </c>
      <c r="H44" s="383"/>
    </row>
    <row r="45" spans="1:8" x14ac:dyDescent="0.25">
      <c r="G45" s="309">
        <f>+G44</f>
        <v>1906838</v>
      </c>
    </row>
  </sheetData>
  <mergeCells count="62">
    <mergeCell ref="A44:F44"/>
    <mergeCell ref="G44:H44"/>
    <mergeCell ref="A39:B39"/>
    <mergeCell ref="G39:H39"/>
    <mergeCell ref="A40:B40"/>
    <mergeCell ref="G40:H40"/>
    <mergeCell ref="C41:F41"/>
    <mergeCell ref="G41:H41"/>
    <mergeCell ref="A38:B38"/>
    <mergeCell ref="G38:H38"/>
    <mergeCell ref="A32:B32"/>
    <mergeCell ref="E32:F32"/>
    <mergeCell ref="G32:H32"/>
    <mergeCell ref="A33:B33"/>
    <mergeCell ref="E33:F33"/>
    <mergeCell ref="G33:H33"/>
    <mergeCell ref="A34:B34"/>
    <mergeCell ref="E34:F34"/>
    <mergeCell ref="G34:H34"/>
    <mergeCell ref="C35:F35"/>
    <mergeCell ref="G35:H35"/>
    <mergeCell ref="A31:B31"/>
    <mergeCell ref="E31:F31"/>
    <mergeCell ref="G31:H31"/>
    <mergeCell ref="A25:B25"/>
    <mergeCell ref="E25:F25"/>
    <mergeCell ref="G25:H25"/>
    <mergeCell ref="A26:B26"/>
    <mergeCell ref="E26:F26"/>
    <mergeCell ref="G26:H26"/>
    <mergeCell ref="A27:B27"/>
    <mergeCell ref="E27:F27"/>
    <mergeCell ref="G27:H27"/>
    <mergeCell ref="C28:F28"/>
    <mergeCell ref="G28:H28"/>
    <mergeCell ref="A21:B21"/>
    <mergeCell ref="C21:D21"/>
    <mergeCell ref="E21:F21"/>
    <mergeCell ref="G21:H21"/>
    <mergeCell ref="C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8:H8"/>
    <mergeCell ref="G9:H9"/>
    <mergeCell ref="A11:H13"/>
    <mergeCell ref="A15:A17"/>
    <mergeCell ref="B15:F17"/>
    <mergeCell ref="G15:G17"/>
    <mergeCell ref="H15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workbookViewId="0">
      <selection activeCell="G45" sqref="G45:H45"/>
    </sheetView>
  </sheetViews>
  <sheetFormatPr baseColWidth="10" defaultRowHeight="15" x14ac:dyDescent="0.25"/>
  <sheetData>
    <row r="1" spans="1:8" ht="18" x14ac:dyDescent="0.25">
      <c r="A1" s="712"/>
      <c r="B1" s="713"/>
      <c r="C1" s="490" t="s">
        <v>160</v>
      </c>
      <c r="D1" s="491"/>
      <c r="E1" s="491"/>
      <c r="F1" s="492"/>
      <c r="G1" s="712"/>
      <c r="H1" s="713"/>
    </row>
    <row r="2" spans="1:8" x14ac:dyDescent="0.25">
      <c r="A2" s="714"/>
      <c r="B2" s="715"/>
      <c r="C2" s="493" t="s">
        <v>85</v>
      </c>
      <c r="D2" s="494"/>
      <c r="E2" s="494"/>
      <c r="F2" s="495"/>
      <c r="G2" s="714"/>
      <c r="H2" s="715"/>
    </row>
    <row r="3" spans="1:8" x14ac:dyDescent="0.25">
      <c r="A3" s="714"/>
      <c r="B3" s="715"/>
      <c r="C3" s="160"/>
      <c r="D3" s="161"/>
      <c r="E3" s="161"/>
      <c r="F3" s="162"/>
      <c r="G3" s="714"/>
      <c r="H3" s="715"/>
    </row>
    <row r="4" spans="1:8" x14ac:dyDescent="0.25">
      <c r="A4" s="714"/>
      <c r="B4" s="715"/>
      <c r="C4" s="493" t="s">
        <v>161</v>
      </c>
      <c r="D4" s="494"/>
      <c r="E4" s="494"/>
      <c r="F4" s="495"/>
      <c r="G4" s="714"/>
      <c r="H4" s="715"/>
    </row>
    <row r="5" spans="1:8" x14ac:dyDescent="0.25">
      <c r="A5" s="714"/>
      <c r="B5" s="715"/>
      <c r="C5" s="493" t="s">
        <v>162</v>
      </c>
      <c r="D5" s="494"/>
      <c r="E5" s="494"/>
      <c r="F5" s="495"/>
      <c r="G5" s="714"/>
      <c r="H5" s="715"/>
    </row>
    <row r="6" spans="1:8" ht="15.75" thickBot="1" x14ac:dyDescent="0.3">
      <c r="A6" s="502"/>
      <c r="B6" s="504"/>
      <c r="C6" s="163"/>
      <c r="D6" s="164"/>
      <c r="E6" s="164"/>
      <c r="F6" s="165"/>
      <c r="G6" s="502"/>
      <c r="H6" s="504"/>
    </row>
    <row r="7" spans="1:8" x14ac:dyDescent="0.25">
      <c r="A7" s="171"/>
      <c r="B7" s="171"/>
      <c r="C7" s="171"/>
      <c r="D7" s="171"/>
      <c r="E7" s="171"/>
      <c r="F7" s="171"/>
      <c r="G7" s="171"/>
      <c r="H7" s="171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220"/>
      <c r="B9" s="220"/>
      <c r="C9" s="220"/>
      <c r="D9" s="220"/>
      <c r="E9" s="220"/>
      <c r="F9" s="220"/>
      <c r="G9" s="497" t="s">
        <v>274</v>
      </c>
      <c r="H9" s="498"/>
    </row>
    <row r="10" spans="1:8" ht="15.75" thickBot="1" x14ac:dyDescent="0.3">
      <c r="A10" s="171"/>
      <c r="B10" s="171"/>
      <c r="C10" s="171"/>
      <c r="D10" s="171"/>
      <c r="E10" s="273"/>
      <c r="F10" s="171"/>
      <c r="G10" s="171"/>
      <c r="H10" s="171"/>
    </row>
    <row r="11" spans="1:8" ht="50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1"/>
      <c r="B14" s="171"/>
      <c r="C14" s="171"/>
      <c r="D14" s="171"/>
      <c r="E14" s="171"/>
      <c r="F14" s="171"/>
      <c r="G14" s="171"/>
      <c r="H14" s="171"/>
    </row>
    <row r="15" spans="1:8" ht="29.25" customHeight="1" thickBot="1" x14ac:dyDescent="0.3">
      <c r="A15" s="301" t="s">
        <v>367</v>
      </c>
      <c r="B15" s="716" t="s">
        <v>309</v>
      </c>
      <c r="C15" s="717"/>
      <c r="D15" s="717"/>
      <c r="E15" s="717"/>
      <c r="F15" s="718"/>
      <c r="G15" s="274" t="s">
        <v>250</v>
      </c>
      <c r="H15" s="275" t="s">
        <v>102</v>
      </c>
    </row>
    <row r="16" spans="1:8" x14ac:dyDescent="0.25">
      <c r="A16" s="170" t="s">
        <v>168</v>
      </c>
      <c r="B16" s="171"/>
      <c r="C16" s="171"/>
      <c r="D16" s="171"/>
      <c r="E16" s="171"/>
      <c r="F16" s="171"/>
      <c r="G16" s="171"/>
      <c r="H16" s="171"/>
    </row>
    <row r="17" spans="1:8" x14ac:dyDescent="0.25">
      <c r="A17" s="509" t="s">
        <v>1</v>
      </c>
      <c r="B17" s="509"/>
      <c r="C17" s="509" t="s">
        <v>169</v>
      </c>
      <c r="D17" s="509"/>
      <c r="E17" s="509" t="s">
        <v>170</v>
      </c>
      <c r="F17" s="509"/>
      <c r="G17" s="509" t="s">
        <v>171</v>
      </c>
      <c r="H17" s="509"/>
    </row>
    <row r="18" spans="1:8" x14ac:dyDescent="0.25">
      <c r="A18" s="510" t="s">
        <v>310</v>
      </c>
      <c r="B18" s="511"/>
      <c r="C18" s="528">
        <f>+[2]Equipos!B3</f>
        <v>1000000</v>
      </c>
      <c r="D18" s="528"/>
      <c r="E18" s="719">
        <v>18</v>
      </c>
      <c r="F18" s="719"/>
      <c r="G18" s="720">
        <f>ROUND(C18/E18,0)</f>
        <v>55556</v>
      </c>
      <c r="H18" s="721"/>
    </row>
    <row r="19" spans="1:8" x14ac:dyDescent="0.25">
      <c r="A19" s="510" t="s">
        <v>311</v>
      </c>
      <c r="B19" s="511"/>
      <c r="C19" s="528">
        <f>+[2]Equipos!B3</f>
        <v>1000000</v>
      </c>
      <c r="D19" s="528"/>
      <c r="E19" s="719">
        <v>9</v>
      </c>
      <c r="F19" s="719"/>
      <c r="G19" s="720">
        <f>ROUND(C19/E19,0)</f>
        <v>111111</v>
      </c>
      <c r="H19" s="721"/>
    </row>
    <row r="20" spans="1:8" x14ac:dyDescent="0.25">
      <c r="A20" s="510" t="s">
        <v>312</v>
      </c>
      <c r="B20" s="511"/>
      <c r="C20" s="528">
        <f>+[2]Equipos!B3</f>
        <v>1000000</v>
      </c>
      <c r="D20" s="528"/>
      <c r="E20" s="719">
        <v>5</v>
      </c>
      <c r="F20" s="719"/>
      <c r="G20" s="720">
        <f>ROUND(C20/E20,0)</f>
        <v>200000</v>
      </c>
      <c r="H20" s="721"/>
    </row>
    <row r="21" spans="1:8" x14ac:dyDescent="0.25">
      <c r="A21" s="510" t="s">
        <v>313</v>
      </c>
      <c r="B21" s="511"/>
      <c r="C21" s="528">
        <f>+[2]Equipos!B4</f>
        <v>6000</v>
      </c>
      <c r="D21" s="528"/>
      <c r="E21" s="722">
        <v>0.75</v>
      </c>
      <c r="F21" s="723"/>
      <c r="G21" s="720">
        <f>ROUND(C21/E21,0)</f>
        <v>8000</v>
      </c>
      <c r="H21" s="721"/>
    </row>
    <row r="22" spans="1:8" x14ac:dyDescent="0.25">
      <c r="A22" s="510" t="s">
        <v>314</v>
      </c>
      <c r="B22" s="511"/>
      <c r="C22" s="528">
        <f>+[2]Equipos!B5</f>
        <v>40000</v>
      </c>
      <c r="D22" s="528"/>
      <c r="E22" s="722">
        <v>0.75</v>
      </c>
      <c r="F22" s="723"/>
      <c r="G22" s="720">
        <f>ROUND(C22/E22,0)</f>
        <v>53333</v>
      </c>
      <c r="H22" s="721"/>
    </row>
    <row r="23" spans="1:8" x14ac:dyDescent="0.25">
      <c r="A23" s="510" t="s">
        <v>173</v>
      </c>
      <c r="B23" s="511"/>
      <c r="C23" s="528"/>
      <c r="D23" s="528"/>
      <c r="E23" s="724"/>
      <c r="F23" s="725"/>
      <c r="G23" s="726">
        <v>50000</v>
      </c>
      <c r="H23" s="726"/>
    </row>
    <row r="24" spans="1:8" x14ac:dyDescent="0.25">
      <c r="A24" s="171"/>
      <c r="B24" s="171"/>
      <c r="C24" s="523" t="s">
        <v>174</v>
      </c>
      <c r="D24" s="523"/>
      <c r="E24" s="523"/>
      <c r="F24" s="523"/>
      <c r="G24" s="727">
        <f>SUM(G18:G23)</f>
        <v>478000</v>
      </c>
      <c r="H24" s="727"/>
    </row>
    <row r="25" spans="1:8" x14ac:dyDescent="0.25">
      <c r="A25" s="171"/>
      <c r="B25" s="171"/>
      <c r="C25" s="276"/>
      <c r="D25" s="276"/>
      <c r="E25" s="276"/>
      <c r="F25" s="276"/>
      <c r="G25" s="277"/>
      <c r="H25" s="277"/>
    </row>
    <row r="26" spans="1:8" x14ac:dyDescent="0.25">
      <c r="A26" s="170" t="s">
        <v>175</v>
      </c>
      <c r="B26" s="171"/>
      <c r="C26" s="171"/>
      <c r="D26" s="171"/>
      <c r="E26" s="171"/>
      <c r="F26" s="171"/>
      <c r="G26" s="171"/>
      <c r="H26" s="171"/>
    </row>
    <row r="27" spans="1:8" x14ac:dyDescent="0.25">
      <c r="A27" s="509" t="s">
        <v>1</v>
      </c>
      <c r="B27" s="509"/>
      <c r="C27" s="174" t="s">
        <v>176</v>
      </c>
      <c r="D27" s="174" t="s">
        <v>177</v>
      </c>
      <c r="E27" s="509" t="s">
        <v>3</v>
      </c>
      <c r="F27" s="509"/>
      <c r="G27" s="509" t="s">
        <v>171</v>
      </c>
      <c r="H27" s="509"/>
    </row>
    <row r="28" spans="1:8" ht="29.25" customHeight="1" x14ac:dyDescent="0.25">
      <c r="A28" s="516" t="s">
        <v>315</v>
      </c>
      <c r="B28" s="517"/>
      <c r="C28" s="177" t="s">
        <v>102</v>
      </c>
      <c r="D28" s="176">
        <v>1550000</v>
      </c>
      <c r="E28" s="535">
        <v>1.1000000000000001</v>
      </c>
      <c r="F28" s="535"/>
      <c r="G28" s="720">
        <f>+ROUND(D28*E28,0)</f>
        <v>1705000</v>
      </c>
      <c r="H28" s="721"/>
    </row>
    <row r="29" spans="1:8" x14ac:dyDescent="0.25">
      <c r="A29" s="516" t="s">
        <v>316</v>
      </c>
      <c r="B29" s="517"/>
      <c r="C29" s="177" t="s">
        <v>176</v>
      </c>
      <c r="D29" s="178">
        <v>210000</v>
      </c>
      <c r="E29" s="535">
        <f>1/2.5</f>
        <v>0.4</v>
      </c>
      <c r="F29" s="535"/>
      <c r="G29" s="720">
        <f>+D29*E29</f>
        <v>84000</v>
      </c>
      <c r="H29" s="721"/>
    </row>
    <row r="30" spans="1:8" x14ac:dyDescent="0.25">
      <c r="A30" s="597"/>
      <c r="B30" s="598"/>
      <c r="C30" s="189"/>
      <c r="D30" s="178"/>
      <c r="E30" s="535"/>
      <c r="F30" s="535"/>
      <c r="G30" s="720"/>
      <c r="H30" s="721"/>
    </row>
    <row r="31" spans="1:8" x14ac:dyDescent="0.25">
      <c r="A31" s="179"/>
      <c r="B31" s="179"/>
      <c r="C31" s="523" t="s">
        <v>174</v>
      </c>
      <c r="D31" s="523"/>
      <c r="E31" s="523"/>
      <c r="F31" s="523"/>
      <c r="G31" s="728">
        <f>SUM(G28:H30)</f>
        <v>1789000</v>
      </c>
      <c r="H31" s="729"/>
    </row>
    <row r="32" spans="1:8" x14ac:dyDescent="0.25">
      <c r="A32" s="171"/>
      <c r="B32" s="171"/>
      <c r="C32" s="171"/>
      <c r="D32" s="171"/>
      <c r="E32" s="171"/>
      <c r="F32" s="171"/>
      <c r="G32" s="171"/>
      <c r="H32" s="171"/>
    </row>
    <row r="33" spans="1:8" x14ac:dyDescent="0.25">
      <c r="A33" s="170" t="s">
        <v>181</v>
      </c>
      <c r="B33" s="171"/>
      <c r="C33" s="171"/>
      <c r="D33" s="171"/>
      <c r="E33" s="171"/>
      <c r="F33" s="171"/>
      <c r="G33" s="171"/>
      <c r="H33" s="171"/>
    </row>
    <row r="34" spans="1:8" x14ac:dyDescent="0.25">
      <c r="A34" s="509" t="s">
        <v>182</v>
      </c>
      <c r="B34" s="509"/>
      <c r="C34" s="180" t="s">
        <v>183</v>
      </c>
      <c r="D34" s="181" t="s">
        <v>184</v>
      </c>
      <c r="E34" s="509" t="s">
        <v>185</v>
      </c>
      <c r="F34" s="509"/>
      <c r="G34" s="509" t="s">
        <v>171</v>
      </c>
      <c r="H34" s="509"/>
    </row>
    <row r="35" spans="1:8" ht="38.25" customHeight="1" x14ac:dyDescent="0.25">
      <c r="A35" s="597" t="s">
        <v>317</v>
      </c>
      <c r="B35" s="598"/>
      <c r="C35" s="259">
        <v>1</v>
      </c>
      <c r="D35" s="183">
        <v>450</v>
      </c>
      <c r="E35" s="512">
        <v>1000</v>
      </c>
      <c r="F35" s="512"/>
      <c r="G35" s="726">
        <f>+C35*D35*E35</f>
        <v>450000</v>
      </c>
      <c r="H35" s="726"/>
    </row>
    <row r="36" spans="1:8" x14ac:dyDescent="0.25">
      <c r="A36" s="597" t="s">
        <v>318</v>
      </c>
      <c r="B36" s="598"/>
      <c r="C36" s="183">
        <v>1</v>
      </c>
      <c r="D36" s="183">
        <v>140</v>
      </c>
      <c r="E36" s="512">
        <v>1000</v>
      </c>
      <c r="F36" s="512"/>
      <c r="G36" s="726">
        <f>+C36*D36*E36</f>
        <v>140000</v>
      </c>
      <c r="H36" s="726"/>
    </row>
    <row r="37" spans="1:8" x14ac:dyDescent="0.25">
      <c r="A37" s="179"/>
      <c r="B37" s="179"/>
      <c r="C37" s="523" t="s">
        <v>174</v>
      </c>
      <c r="D37" s="523"/>
      <c r="E37" s="523"/>
      <c r="F37" s="523"/>
      <c r="G37" s="727">
        <f>SUM(G35:H36)</f>
        <v>590000</v>
      </c>
      <c r="H37" s="727"/>
    </row>
    <row r="38" spans="1:8" x14ac:dyDescent="0.25">
      <c r="A38" s="171"/>
      <c r="B38" s="171"/>
      <c r="C38" s="171"/>
      <c r="D38" s="171"/>
      <c r="E38" s="171"/>
      <c r="F38" s="171"/>
      <c r="G38" s="171"/>
      <c r="H38" s="171"/>
    </row>
    <row r="39" spans="1:8" x14ac:dyDescent="0.25">
      <c r="A39" s="170" t="s">
        <v>186</v>
      </c>
      <c r="B39" s="171"/>
      <c r="C39" s="171"/>
      <c r="D39" s="171"/>
      <c r="E39" s="171"/>
      <c r="F39" s="171"/>
      <c r="G39" s="171"/>
      <c r="H39" s="171"/>
    </row>
    <row r="40" spans="1:8" x14ac:dyDescent="0.25">
      <c r="A40" s="509" t="s">
        <v>187</v>
      </c>
      <c r="B40" s="509"/>
      <c r="C40" s="174" t="s">
        <v>188</v>
      </c>
      <c r="D40" s="181" t="s">
        <v>189</v>
      </c>
      <c r="E40" s="185" t="s">
        <v>190</v>
      </c>
      <c r="F40" s="186" t="s">
        <v>170</v>
      </c>
      <c r="G40" s="509" t="s">
        <v>171</v>
      </c>
      <c r="H40" s="509"/>
    </row>
    <row r="41" spans="1:8" x14ac:dyDescent="0.25">
      <c r="A41" s="510" t="s">
        <v>201</v>
      </c>
      <c r="B41" s="511"/>
      <c r="C41" s="178">
        <v>60000</v>
      </c>
      <c r="D41" s="188">
        <v>0.85</v>
      </c>
      <c r="E41" s="178">
        <f>+((C41*D41)+C41)</f>
        <v>111000</v>
      </c>
      <c r="F41" s="189">
        <v>2</v>
      </c>
      <c r="G41" s="732">
        <f>+ROUND(E41/F41,0)</f>
        <v>55500</v>
      </c>
      <c r="H41" s="732"/>
    </row>
    <row r="42" spans="1:8" x14ac:dyDescent="0.25">
      <c r="A42" s="527" t="s">
        <v>242</v>
      </c>
      <c r="B42" s="527"/>
      <c r="C42" s="178">
        <f>35000*6</f>
        <v>210000</v>
      </c>
      <c r="D42" s="188">
        <v>0.85</v>
      </c>
      <c r="E42" s="178">
        <f>+ROUND(((C42*D42)+C42),0)</f>
        <v>388500</v>
      </c>
      <c r="F42" s="189">
        <v>2</v>
      </c>
      <c r="G42" s="732">
        <f>+ROUND(E42/F42,0)</f>
        <v>194250</v>
      </c>
      <c r="H42" s="732"/>
    </row>
    <row r="43" spans="1:8" x14ac:dyDescent="0.25">
      <c r="A43" s="179"/>
      <c r="B43" s="179"/>
      <c r="C43" s="523" t="s">
        <v>174</v>
      </c>
      <c r="D43" s="523"/>
      <c r="E43" s="523"/>
      <c r="F43" s="523"/>
      <c r="G43" s="733">
        <f>SUM(G41:H42)</f>
        <v>249750</v>
      </c>
      <c r="H43" s="734"/>
    </row>
    <row r="44" spans="1:8" x14ac:dyDescent="0.25">
      <c r="A44" s="171"/>
      <c r="B44" s="171"/>
      <c r="C44" s="171"/>
      <c r="D44" s="171"/>
      <c r="E44" s="171"/>
      <c r="F44" s="171"/>
      <c r="G44" s="171"/>
      <c r="H44" s="171"/>
    </row>
    <row r="45" spans="1:8" x14ac:dyDescent="0.25">
      <c r="A45" s="532" t="s">
        <v>193</v>
      </c>
      <c r="B45" s="532"/>
      <c r="C45" s="532"/>
      <c r="D45" s="532"/>
      <c r="E45" s="532"/>
      <c r="F45" s="532"/>
      <c r="G45" s="730">
        <f>+ROUND(G24+G31+G37+G43,0)</f>
        <v>3106750</v>
      </c>
      <c r="H45" s="731"/>
    </row>
    <row r="46" spans="1:8" x14ac:dyDescent="0.25">
      <c r="G46" s="310">
        <f>+G45</f>
        <v>3106750</v>
      </c>
    </row>
  </sheetData>
  <mergeCells count="75">
    <mergeCell ref="A45:F45"/>
    <mergeCell ref="G45:H45"/>
    <mergeCell ref="A41:B41"/>
    <mergeCell ref="G41:H41"/>
    <mergeCell ref="A42:B42"/>
    <mergeCell ref="G42:H42"/>
    <mergeCell ref="C43:F43"/>
    <mergeCell ref="G43:H43"/>
    <mergeCell ref="A40:B40"/>
    <mergeCell ref="G40:H40"/>
    <mergeCell ref="C31:F31"/>
    <mergeCell ref="G31:H31"/>
    <mergeCell ref="A34:B34"/>
    <mergeCell ref="E34:F34"/>
    <mergeCell ref="G34:H34"/>
    <mergeCell ref="A35:B35"/>
    <mergeCell ref="E35:F35"/>
    <mergeCell ref="G35:H35"/>
    <mergeCell ref="A36:B36"/>
    <mergeCell ref="E36:F36"/>
    <mergeCell ref="G36:H36"/>
    <mergeCell ref="C37:F37"/>
    <mergeCell ref="G37:H37"/>
    <mergeCell ref="A29:B29"/>
    <mergeCell ref="E29:F29"/>
    <mergeCell ref="G29:H29"/>
    <mergeCell ref="A30:B30"/>
    <mergeCell ref="E30:F30"/>
    <mergeCell ref="G30:H30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B15:F15"/>
    <mergeCell ref="A17:B17"/>
    <mergeCell ref="C17:D17"/>
    <mergeCell ref="E17:F17"/>
    <mergeCell ref="G17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workbookViewId="0">
      <selection activeCell="G45" sqref="G45:H45"/>
    </sheetView>
  </sheetViews>
  <sheetFormatPr baseColWidth="10" defaultRowHeight="15" x14ac:dyDescent="0.25"/>
  <sheetData>
    <row r="1" spans="1:8" ht="18" x14ac:dyDescent="0.25">
      <c r="A1" s="712"/>
      <c r="B1" s="713"/>
      <c r="C1" s="490" t="s">
        <v>160</v>
      </c>
      <c r="D1" s="491"/>
      <c r="E1" s="491"/>
      <c r="F1" s="492"/>
      <c r="G1" s="712"/>
      <c r="H1" s="713"/>
    </row>
    <row r="2" spans="1:8" x14ac:dyDescent="0.25">
      <c r="A2" s="714"/>
      <c r="B2" s="715"/>
      <c r="C2" s="493" t="s">
        <v>85</v>
      </c>
      <c r="D2" s="494"/>
      <c r="E2" s="494"/>
      <c r="F2" s="495"/>
      <c r="G2" s="714"/>
      <c r="H2" s="715"/>
    </row>
    <row r="3" spans="1:8" x14ac:dyDescent="0.25">
      <c r="A3" s="714"/>
      <c r="B3" s="715"/>
      <c r="C3" s="160"/>
      <c r="D3" s="161"/>
      <c r="E3" s="161"/>
      <c r="F3" s="162"/>
      <c r="G3" s="714"/>
      <c r="H3" s="715"/>
    </row>
    <row r="4" spans="1:8" x14ac:dyDescent="0.25">
      <c r="A4" s="714"/>
      <c r="B4" s="715"/>
      <c r="C4" s="493" t="s">
        <v>161</v>
      </c>
      <c r="D4" s="494"/>
      <c r="E4" s="494"/>
      <c r="F4" s="495"/>
      <c r="G4" s="714"/>
      <c r="H4" s="715"/>
    </row>
    <row r="5" spans="1:8" x14ac:dyDescent="0.25">
      <c r="A5" s="714"/>
      <c r="B5" s="715"/>
      <c r="C5" s="493" t="s">
        <v>162</v>
      </c>
      <c r="D5" s="494"/>
      <c r="E5" s="494"/>
      <c r="F5" s="495"/>
      <c r="G5" s="714"/>
      <c r="H5" s="715"/>
    </row>
    <row r="6" spans="1:8" ht="15.75" thickBot="1" x14ac:dyDescent="0.3">
      <c r="A6" s="502"/>
      <c r="B6" s="504"/>
      <c r="C6" s="163"/>
      <c r="D6" s="164"/>
      <c r="E6" s="164"/>
      <c r="F6" s="165"/>
      <c r="G6" s="502"/>
      <c r="H6" s="504"/>
    </row>
    <row r="7" spans="1:8" x14ac:dyDescent="0.25">
      <c r="A7" s="171"/>
      <c r="B7" s="171"/>
      <c r="C7" s="171"/>
      <c r="D7" s="171"/>
      <c r="E7" s="171"/>
      <c r="F7" s="171"/>
      <c r="G7" s="171"/>
      <c r="H7" s="171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220"/>
      <c r="B9" s="220"/>
      <c r="C9" s="220"/>
      <c r="D9" s="220"/>
      <c r="E9" s="220"/>
      <c r="F9" s="220"/>
      <c r="G9" s="497" t="s">
        <v>274</v>
      </c>
      <c r="H9" s="498"/>
    </row>
    <row r="10" spans="1:8" ht="15.75" thickBot="1" x14ac:dyDescent="0.3">
      <c r="A10" s="171"/>
      <c r="B10" s="171"/>
      <c r="C10" s="171"/>
      <c r="D10" s="171"/>
      <c r="E10" s="273"/>
      <c r="F10" s="171"/>
      <c r="G10" s="171"/>
      <c r="H10" s="171"/>
    </row>
    <row r="11" spans="1:8" ht="52.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1"/>
      <c r="B14" s="171"/>
      <c r="C14" s="171"/>
      <c r="D14" s="171"/>
      <c r="E14" s="171"/>
      <c r="F14" s="171"/>
      <c r="G14" s="171"/>
      <c r="H14" s="171"/>
    </row>
    <row r="15" spans="1:8" ht="32.25" customHeight="1" thickBot="1" x14ac:dyDescent="0.3">
      <c r="A15" s="301" t="s">
        <v>360</v>
      </c>
      <c r="B15" s="716" t="s">
        <v>319</v>
      </c>
      <c r="C15" s="717"/>
      <c r="D15" s="717"/>
      <c r="E15" s="717"/>
      <c r="F15" s="718"/>
      <c r="G15" s="274" t="s">
        <v>250</v>
      </c>
      <c r="H15" s="275" t="s">
        <v>102</v>
      </c>
    </row>
    <row r="16" spans="1:8" x14ac:dyDescent="0.25">
      <c r="A16" s="170" t="s">
        <v>168</v>
      </c>
      <c r="B16" s="171"/>
      <c r="C16" s="171"/>
      <c r="D16" s="171"/>
      <c r="E16" s="171"/>
      <c r="F16" s="171"/>
      <c r="G16" s="171"/>
      <c r="H16" s="171"/>
    </row>
    <row r="17" spans="1:8" x14ac:dyDescent="0.25">
      <c r="A17" s="509" t="s">
        <v>1</v>
      </c>
      <c r="B17" s="509"/>
      <c r="C17" s="509" t="s">
        <v>169</v>
      </c>
      <c r="D17" s="509"/>
      <c r="E17" s="509" t="s">
        <v>170</v>
      </c>
      <c r="F17" s="509"/>
      <c r="G17" s="509" t="s">
        <v>171</v>
      </c>
      <c r="H17" s="509"/>
    </row>
    <row r="18" spans="1:8" x14ac:dyDescent="0.25">
      <c r="A18" s="510" t="s">
        <v>310</v>
      </c>
      <c r="B18" s="511"/>
      <c r="C18" s="528">
        <v>1000000</v>
      </c>
      <c r="D18" s="528"/>
      <c r="E18" s="719">
        <v>10</v>
      </c>
      <c r="F18" s="719"/>
      <c r="G18" s="720">
        <f>ROUND(C18/E18,0)</f>
        <v>100000</v>
      </c>
      <c r="H18" s="721"/>
    </row>
    <row r="19" spans="1:8" x14ac:dyDescent="0.25">
      <c r="A19" s="510" t="s">
        <v>311</v>
      </c>
      <c r="B19" s="511"/>
      <c r="C19" s="528">
        <v>1000000</v>
      </c>
      <c r="D19" s="528"/>
      <c r="E19" s="719">
        <v>5</v>
      </c>
      <c r="F19" s="719"/>
      <c r="G19" s="720">
        <f>ROUND(C19/E19,0)</f>
        <v>200000</v>
      </c>
      <c r="H19" s="721"/>
    </row>
    <row r="20" spans="1:8" x14ac:dyDescent="0.25">
      <c r="A20" s="510" t="s">
        <v>312</v>
      </c>
      <c r="B20" s="511"/>
      <c r="C20" s="528">
        <v>1000000</v>
      </c>
      <c r="D20" s="528"/>
      <c r="E20" s="719">
        <v>3</v>
      </c>
      <c r="F20" s="719"/>
      <c r="G20" s="720">
        <f>ROUND(C20/E20,0)</f>
        <v>333333</v>
      </c>
      <c r="H20" s="721"/>
    </row>
    <row r="21" spans="1:8" x14ac:dyDescent="0.25">
      <c r="A21" s="510" t="s">
        <v>313</v>
      </c>
      <c r="B21" s="511"/>
      <c r="C21" s="528">
        <v>6000</v>
      </c>
      <c r="D21" s="528"/>
      <c r="E21" s="722">
        <v>0.25</v>
      </c>
      <c r="F21" s="723"/>
      <c r="G21" s="720">
        <f>ROUND(C21/E21,0)</f>
        <v>24000</v>
      </c>
      <c r="H21" s="721"/>
    </row>
    <row r="22" spans="1:8" x14ac:dyDescent="0.25">
      <c r="A22" s="510" t="s">
        <v>314</v>
      </c>
      <c r="B22" s="511"/>
      <c r="C22" s="528">
        <v>40000</v>
      </c>
      <c r="D22" s="528"/>
      <c r="E22" s="722">
        <v>0.25</v>
      </c>
      <c r="F22" s="723"/>
      <c r="G22" s="720">
        <f>ROUND(C22/E22,0)</f>
        <v>160000</v>
      </c>
      <c r="H22" s="721"/>
    </row>
    <row r="23" spans="1:8" x14ac:dyDescent="0.25">
      <c r="A23" s="510" t="s">
        <v>173</v>
      </c>
      <c r="B23" s="511"/>
      <c r="C23" s="528"/>
      <c r="D23" s="528"/>
      <c r="E23" s="724"/>
      <c r="F23" s="725"/>
      <c r="G23" s="726">
        <v>50000</v>
      </c>
      <c r="H23" s="726"/>
    </row>
    <row r="24" spans="1:8" x14ac:dyDescent="0.25">
      <c r="A24" s="171"/>
      <c r="B24" s="171"/>
      <c r="C24" s="523" t="s">
        <v>174</v>
      </c>
      <c r="D24" s="523"/>
      <c r="E24" s="523"/>
      <c r="F24" s="523"/>
      <c r="G24" s="727">
        <f>SUM(G18:G23)</f>
        <v>867333</v>
      </c>
      <c r="H24" s="727"/>
    </row>
    <row r="25" spans="1:8" x14ac:dyDescent="0.25">
      <c r="A25" s="171"/>
      <c r="B25" s="171"/>
      <c r="C25" s="276"/>
      <c r="D25" s="276"/>
      <c r="E25" s="276"/>
      <c r="F25" s="276"/>
      <c r="G25" s="277"/>
      <c r="H25" s="277"/>
    </row>
    <row r="26" spans="1:8" x14ac:dyDescent="0.25">
      <c r="A26" s="170" t="s">
        <v>175</v>
      </c>
      <c r="B26" s="171"/>
      <c r="C26" s="171"/>
      <c r="D26" s="171"/>
      <c r="E26" s="171"/>
      <c r="F26" s="171"/>
      <c r="G26" s="171"/>
      <c r="H26" s="171"/>
    </row>
    <row r="27" spans="1:8" x14ac:dyDescent="0.25">
      <c r="A27" s="509" t="s">
        <v>1</v>
      </c>
      <c r="B27" s="509"/>
      <c r="C27" s="174" t="s">
        <v>176</v>
      </c>
      <c r="D27" s="174" t="s">
        <v>177</v>
      </c>
      <c r="E27" s="509" t="s">
        <v>3</v>
      </c>
      <c r="F27" s="509"/>
      <c r="G27" s="509" t="s">
        <v>171</v>
      </c>
      <c r="H27" s="509"/>
    </row>
    <row r="28" spans="1:8" ht="24" customHeight="1" x14ac:dyDescent="0.25">
      <c r="A28" s="516" t="s">
        <v>320</v>
      </c>
      <c r="B28" s="517"/>
      <c r="C28" s="177" t="s">
        <v>102</v>
      </c>
      <c r="D28" s="176">
        <v>2050000</v>
      </c>
      <c r="E28" s="535">
        <v>1.1000000000000001</v>
      </c>
      <c r="F28" s="535"/>
      <c r="G28" s="720">
        <f>+ROUND(D28*E28,0)</f>
        <v>2255000</v>
      </c>
      <c r="H28" s="721"/>
    </row>
    <row r="29" spans="1:8" x14ac:dyDescent="0.25">
      <c r="A29" s="516" t="s">
        <v>316</v>
      </c>
      <c r="B29" s="517"/>
      <c r="C29" s="177" t="s">
        <v>176</v>
      </c>
      <c r="D29" s="178">
        <v>210000</v>
      </c>
      <c r="E29" s="535">
        <f>1/2.5</f>
        <v>0.4</v>
      </c>
      <c r="F29" s="535"/>
      <c r="G29" s="720">
        <f>+D29*E29</f>
        <v>84000</v>
      </c>
      <c r="H29" s="721"/>
    </row>
    <row r="30" spans="1:8" x14ac:dyDescent="0.25">
      <c r="A30" s="597"/>
      <c r="B30" s="598"/>
      <c r="C30" s="189"/>
      <c r="D30" s="178"/>
      <c r="E30" s="535"/>
      <c r="F30" s="535"/>
      <c r="G30" s="720"/>
      <c r="H30" s="721"/>
    </row>
    <row r="31" spans="1:8" x14ac:dyDescent="0.25">
      <c r="A31" s="179"/>
      <c r="B31" s="179"/>
      <c r="C31" s="523" t="s">
        <v>174</v>
      </c>
      <c r="D31" s="523"/>
      <c r="E31" s="523"/>
      <c r="F31" s="523"/>
      <c r="G31" s="728">
        <f>SUM(G28:H30)</f>
        <v>2339000</v>
      </c>
      <c r="H31" s="729"/>
    </row>
    <row r="32" spans="1:8" x14ac:dyDescent="0.25">
      <c r="A32" s="171"/>
      <c r="B32" s="171"/>
      <c r="C32" s="171"/>
      <c r="D32" s="171"/>
      <c r="E32" s="171"/>
      <c r="F32" s="171"/>
      <c r="G32" s="171"/>
      <c r="H32" s="171"/>
    </row>
    <row r="33" spans="1:8" x14ac:dyDescent="0.25">
      <c r="A33" s="170" t="s">
        <v>181</v>
      </c>
      <c r="B33" s="171"/>
      <c r="C33" s="171"/>
      <c r="D33" s="171"/>
      <c r="E33" s="171"/>
      <c r="F33" s="171"/>
      <c r="G33" s="171"/>
      <c r="H33" s="171"/>
    </row>
    <row r="34" spans="1:8" x14ac:dyDescent="0.25">
      <c r="A34" s="509" t="s">
        <v>182</v>
      </c>
      <c r="B34" s="509"/>
      <c r="C34" s="180" t="s">
        <v>183</v>
      </c>
      <c r="D34" s="181" t="s">
        <v>184</v>
      </c>
      <c r="E34" s="509" t="s">
        <v>185</v>
      </c>
      <c r="F34" s="509"/>
      <c r="G34" s="509" t="s">
        <v>171</v>
      </c>
      <c r="H34" s="509"/>
    </row>
    <row r="35" spans="1:8" ht="42" customHeight="1" x14ac:dyDescent="0.25">
      <c r="A35" s="597" t="s">
        <v>317</v>
      </c>
      <c r="B35" s="598"/>
      <c r="C35" s="259">
        <v>1</v>
      </c>
      <c r="D35" s="183">
        <v>450</v>
      </c>
      <c r="E35" s="512">
        <v>1000</v>
      </c>
      <c r="F35" s="512"/>
      <c r="G35" s="726">
        <f>+C35*D35*E35</f>
        <v>450000</v>
      </c>
      <c r="H35" s="726"/>
    </row>
    <row r="36" spans="1:8" ht="18.75" customHeight="1" x14ac:dyDescent="0.25">
      <c r="A36" s="597" t="s">
        <v>318</v>
      </c>
      <c r="B36" s="598"/>
      <c r="C36" s="183">
        <v>1</v>
      </c>
      <c r="D36" s="183">
        <v>140</v>
      </c>
      <c r="E36" s="512">
        <v>1000</v>
      </c>
      <c r="F36" s="512"/>
      <c r="G36" s="726">
        <f>+C36*D36*E36</f>
        <v>140000</v>
      </c>
      <c r="H36" s="726"/>
    </row>
    <row r="37" spans="1:8" x14ac:dyDescent="0.25">
      <c r="A37" s="179"/>
      <c r="B37" s="179"/>
      <c r="C37" s="523" t="s">
        <v>174</v>
      </c>
      <c r="D37" s="523"/>
      <c r="E37" s="523"/>
      <c r="F37" s="523"/>
      <c r="G37" s="727">
        <f>SUM(G35:H36)</f>
        <v>590000</v>
      </c>
      <c r="H37" s="727"/>
    </row>
    <row r="38" spans="1:8" x14ac:dyDescent="0.25">
      <c r="A38" s="171"/>
      <c r="B38" s="171"/>
      <c r="C38" s="171"/>
      <c r="D38" s="171"/>
      <c r="E38" s="171"/>
      <c r="F38" s="171"/>
      <c r="G38" s="278"/>
      <c r="H38" s="278"/>
    </row>
    <row r="39" spans="1:8" x14ac:dyDescent="0.25">
      <c r="A39" s="170" t="s">
        <v>186</v>
      </c>
      <c r="B39" s="171"/>
      <c r="C39" s="171"/>
      <c r="D39" s="171"/>
      <c r="E39" s="171"/>
      <c r="F39" s="171"/>
      <c r="G39" s="171"/>
      <c r="H39" s="171"/>
    </row>
    <row r="40" spans="1:8" x14ac:dyDescent="0.25">
      <c r="A40" s="509" t="s">
        <v>187</v>
      </c>
      <c r="B40" s="509"/>
      <c r="C40" s="174" t="s">
        <v>188</v>
      </c>
      <c r="D40" s="181" t="s">
        <v>189</v>
      </c>
      <c r="E40" s="185" t="s">
        <v>190</v>
      </c>
      <c r="F40" s="186" t="s">
        <v>170</v>
      </c>
      <c r="G40" s="509" t="s">
        <v>171</v>
      </c>
      <c r="H40" s="509"/>
    </row>
    <row r="41" spans="1:8" x14ac:dyDescent="0.25">
      <c r="A41" s="510" t="s">
        <v>201</v>
      </c>
      <c r="B41" s="511"/>
      <c r="C41" s="178">
        <v>60000</v>
      </c>
      <c r="D41" s="188">
        <v>0.85</v>
      </c>
      <c r="E41" s="178">
        <f>+((C41*D41)+C41)</f>
        <v>111000</v>
      </c>
      <c r="F41" s="189">
        <v>2</v>
      </c>
      <c r="G41" s="726">
        <f>+ROUND(E41/F41,0)</f>
        <v>55500</v>
      </c>
      <c r="H41" s="726"/>
    </row>
    <row r="42" spans="1:8" x14ac:dyDescent="0.25">
      <c r="A42" s="527" t="s">
        <v>242</v>
      </c>
      <c r="B42" s="527"/>
      <c r="C42" s="178">
        <f>35000*6</f>
        <v>210000</v>
      </c>
      <c r="D42" s="188">
        <v>0.85</v>
      </c>
      <c r="E42" s="178">
        <f>+ROUND(((C42*D42)+C42),0)</f>
        <v>388500</v>
      </c>
      <c r="F42" s="189">
        <v>2</v>
      </c>
      <c r="G42" s="726">
        <f>+ROUND(E42/F42,0)</f>
        <v>194250</v>
      </c>
      <c r="H42" s="726"/>
    </row>
    <row r="43" spans="1:8" x14ac:dyDescent="0.25">
      <c r="A43" s="179"/>
      <c r="B43" s="179"/>
      <c r="C43" s="523" t="s">
        <v>174</v>
      </c>
      <c r="D43" s="523"/>
      <c r="E43" s="523"/>
      <c r="F43" s="523"/>
      <c r="G43" s="727">
        <f>SUM(G41:H42)</f>
        <v>249750</v>
      </c>
      <c r="H43" s="727"/>
    </row>
    <row r="44" spans="1:8" x14ac:dyDescent="0.25">
      <c r="A44" s="171"/>
      <c r="B44" s="171"/>
      <c r="C44" s="171"/>
      <c r="D44" s="171"/>
      <c r="E44" s="171"/>
      <c r="F44" s="171"/>
      <c r="G44" s="278"/>
      <c r="H44" s="278"/>
    </row>
    <row r="45" spans="1:8" x14ac:dyDescent="0.25">
      <c r="A45" s="532" t="s">
        <v>193</v>
      </c>
      <c r="B45" s="532"/>
      <c r="C45" s="532"/>
      <c r="D45" s="532"/>
      <c r="E45" s="532"/>
      <c r="F45" s="532"/>
      <c r="G45" s="735">
        <f>+ROUND(G24+G31+G37+G43,0)</f>
        <v>4046083</v>
      </c>
      <c r="H45" s="736"/>
    </row>
    <row r="46" spans="1:8" x14ac:dyDescent="0.25">
      <c r="G46" s="310">
        <f>+G45</f>
        <v>4046083</v>
      </c>
    </row>
  </sheetData>
  <mergeCells count="75">
    <mergeCell ref="A45:F45"/>
    <mergeCell ref="G45:H45"/>
    <mergeCell ref="A41:B41"/>
    <mergeCell ref="G41:H41"/>
    <mergeCell ref="A42:B42"/>
    <mergeCell ref="G42:H42"/>
    <mergeCell ref="C43:F43"/>
    <mergeCell ref="G43:H43"/>
    <mergeCell ref="A40:B40"/>
    <mergeCell ref="G40:H40"/>
    <mergeCell ref="C31:F31"/>
    <mergeCell ref="G31:H31"/>
    <mergeCell ref="A34:B34"/>
    <mergeCell ref="E34:F34"/>
    <mergeCell ref="G34:H34"/>
    <mergeCell ref="A35:B35"/>
    <mergeCell ref="E35:F35"/>
    <mergeCell ref="G35:H35"/>
    <mergeCell ref="A36:B36"/>
    <mergeCell ref="E36:F36"/>
    <mergeCell ref="G36:H36"/>
    <mergeCell ref="C37:F37"/>
    <mergeCell ref="G37:H37"/>
    <mergeCell ref="A29:B29"/>
    <mergeCell ref="E29:F29"/>
    <mergeCell ref="G29:H29"/>
    <mergeCell ref="A30:B30"/>
    <mergeCell ref="E30:F30"/>
    <mergeCell ref="G30:H30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B15:F15"/>
    <mergeCell ref="A17:B17"/>
    <mergeCell ref="C17:D17"/>
    <mergeCell ref="E17:F17"/>
    <mergeCell ref="G17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3"/>
  <sheetViews>
    <sheetView workbookViewId="0">
      <selection activeCell="G51" sqref="G51:H51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67"/>
      <c r="F10" s="159"/>
      <c r="G10" s="159"/>
      <c r="H10" s="159"/>
    </row>
    <row r="11" spans="1:8" ht="53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x14ac:dyDescent="0.25">
      <c r="A15" s="505" t="s">
        <v>361</v>
      </c>
      <c r="B15" s="499" t="s">
        <v>321</v>
      </c>
      <c r="C15" s="500"/>
      <c r="D15" s="500"/>
      <c r="E15" s="500"/>
      <c r="F15" s="501"/>
      <c r="G15" s="505" t="s">
        <v>250</v>
      </c>
      <c r="H15" s="507" t="s">
        <v>93</v>
      </c>
    </row>
    <row r="16" spans="1:8" ht="15.75" thickBot="1" x14ac:dyDescent="0.3">
      <c r="A16" s="506"/>
      <c r="B16" s="502"/>
      <c r="C16" s="503"/>
      <c r="D16" s="503"/>
      <c r="E16" s="503"/>
      <c r="F16" s="504"/>
      <c r="G16" s="506"/>
      <c r="H16" s="508"/>
    </row>
    <row r="17" spans="1:8" x14ac:dyDescent="0.25">
      <c r="A17" s="170" t="s">
        <v>168</v>
      </c>
      <c r="B17" s="159"/>
      <c r="C17" s="159"/>
      <c r="D17" s="159"/>
      <c r="E17" s="159"/>
      <c r="F17" s="159"/>
      <c r="G17" s="159"/>
      <c r="H17" s="159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510" t="s">
        <v>322</v>
      </c>
      <c r="B19" s="511"/>
      <c r="C19" s="512">
        <f>+[2]Equipos!B6</f>
        <v>8000</v>
      </c>
      <c r="D19" s="512"/>
      <c r="E19" s="535">
        <v>2</v>
      </c>
      <c r="F19" s="535"/>
      <c r="G19" s="514">
        <f>+C19/E19</f>
        <v>4000</v>
      </c>
      <c r="H19" s="515"/>
    </row>
    <row r="20" spans="1:8" x14ac:dyDescent="0.25">
      <c r="A20" s="510" t="s">
        <v>323</v>
      </c>
      <c r="B20" s="511"/>
      <c r="C20" s="512">
        <f>+[2]Equipos!B17</f>
        <v>9700</v>
      </c>
      <c r="D20" s="512"/>
      <c r="E20" s="535">
        <v>0.25</v>
      </c>
      <c r="F20" s="535"/>
      <c r="G20" s="514">
        <f>+C20/E20</f>
        <v>38800</v>
      </c>
      <c r="H20" s="515"/>
    </row>
    <row r="21" spans="1:8" x14ac:dyDescent="0.25">
      <c r="A21" s="510" t="s">
        <v>324</v>
      </c>
      <c r="B21" s="511"/>
      <c r="C21" s="512">
        <f>+[2]Equipos!B7</f>
        <v>10000</v>
      </c>
      <c r="D21" s="512"/>
      <c r="E21" s="535">
        <v>1</v>
      </c>
      <c r="F21" s="535"/>
      <c r="G21" s="514">
        <f>+E21*C21</f>
        <v>10000</v>
      </c>
      <c r="H21" s="515"/>
    </row>
    <row r="22" spans="1:8" x14ac:dyDescent="0.25">
      <c r="A22" s="510" t="s">
        <v>173</v>
      </c>
      <c r="B22" s="511"/>
      <c r="C22" s="512"/>
      <c r="D22" s="512"/>
      <c r="E22" s="521">
        <v>0.1</v>
      </c>
      <c r="F22" s="522"/>
      <c r="G22" s="514">
        <f>ROUND(E22*G48,0)</f>
        <v>8325</v>
      </c>
      <c r="H22" s="515"/>
    </row>
    <row r="23" spans="1:8" x14ac:dyDescent="0.25">
      <c r="A23" s="171"/>
      <c r="B23" s="171"/>
      <c r="C23" s="523" t="s">
        <v>174</v>
      </c>
      <c r="D23" s="523"/>
      <c r="E23" s="523"/>
      <c r="F23" s="523"/>
      <c r="G23" s="524">
        <f>SUM(G19:H22)</f>
        <v>61125</v>
      </c>
      <c r="H23" s="524"/>
    </row>
    <row r="24" spans="1:8" x14ac:dyDescent="0.25">
      <c r="A24" s="159"/>
      <c r="B24" s="159"/>
      <c r="C24" s="172"/>
      <c r="D24" s="172"/>
      <c r="E24" s="172"/>
      <c r="F24" s="172"/>
      <c r="G24" s="173"/>
      <c r="H24" s="173"/>
    </row>
    <row r="25" spans="1:8" x14ac:dyDescent="0.25">
      <c r="A25" s="170" t="s">
        <v>175</v>
      </c>
      <c r="B25" s="171"/>
      <c r="C25" s="171"/>
      <c r="D25" s="171"/>
      <c r="E25" s="171"/>
      <c r="F25" s="171"/>
      <c r="G25" s="171"/>
      <c r="H25" s="171"/>
    </row>
    <row r="26" spans="1:8" x14ac:dyDescent="0.25">
      <c r="A26" s="509" t="s">
        <v>1</v>
      </c>
      <c r="B26" s="509"/>
      <c r="C26" s="174" t="s">
        <v>176</v>
      </c>
      <c r="D26" s="174" t="s">
        <v>177</v>
      </c>
      <c r="E26" s="509" t="s">
        <v>3</v>
      </c>
      <c r="F26" s="509"/>
      <c r="G26" s="509" t="s">
        <v>171</v>
      </c>
      <c r="H26" s="509"/>
    </row>
    <row r="27" spans="1:8" x14ac:dyDescent="0.25">
      <c r="A27" s="516" t="s">
        <v>325</v>
      </c>
      <c r="B27" s="517"/>
      <c r="C27" s="177" t="s">
        <v>218</v>
      </c>
      <c r="D27" s="178">
        <v>520</v>
      </c>
      <c r="E27" s="737">
        <v>320</v>
      </c>
      <c r="F27" s="737"/>
      <c r="G27" s="514">
        <f t="shared" ref="G27:G32" si="0">ROUND(D27*E27,0)</f>
        <v>166400</v>
      </c>
      <c r="H27" s="515"/>
    </row>
    <row r="28" spans="1:8" x14ac:dyDescent="0.25">
      <c r="A28" s="516" t="s">
        <v>326</v>
      </c>
      <c r="B28" s="517"/>
      <c r="C28" s="177" t="s">
        <v>327</v>
      </c>
      <c r="D28" s="176">
        <v>75000</v>
      </c>
      <c r="E28" s="738">
        <v>0.9</v>
      </c>
      <c r="F28" s="738"/>
      <c r="G28" s="514">
        <f t="shared" si="0"/>
        <v>67500</v>
      </c>
      <c r="H28" s="515"/>
    </row>
    <row r="29" spans="1:8" x14ac:dyDescent="0.25">
      <c r="A29" s="516" t="s">
        <v>328</v>
      </c>
      <c r="B29" s="517"/>
      <c r="C29" s="177" t="s">
        <v>327</v>
      </c>
      <c r="D29" s="178">
        <v>60000</v>
      </c>
      <c r="E29" s="526">
        <v>0.51500000000000001</v>
      </c>
      <c r="F29" s="526"/>
      <c r="G29" s="514">
        <f t="shared" si="0"/>
        <v>30900</v>
      </c>
      <c r="H29" s="515"/>
    </row>
    <row r="30" spans="1:8" x14ac:dyDescent="0.25">
      <c r="A30" s="516" t="s">
        <v>329</v>
      </c>
      <c r="B30" s="517"/>
      <c r="C30" s="177" t="s">
        <v>218</v>
      </c>
      <c r="D30" s="178">
        <v>13000</v>
      </c>
      <c r="E30" s="526">
        <v>0.48</v>
      </c>
      <c r="F30" s="526"/>
      <c r="G30" s="514">
        <f t="shared" si="0"/>
        <v>6240</v>
      </c>
      <c r="H30" s="515"/>
    </row>
    <row r="31" spans="1:8" x14ac:dyDescent="0.25">
      <c r="A31" s="516" t="s">
        <v>330</v>
      </c>
      <c r="B31" s="517"/>
      <c r="C31" s="177" t="s">
        <v>218</v>
      </c>
      <c r="D31" s="178">
        <v>38000</v>
      </c>
      <c r="E31" s="526">
        <v>0.04</v>
      </c>
      <c r="F31" s="526"/>
      <c r="G31" s="514">
        <f t="shared" si="0"/>
        <v>1520</v>
      </c>
      <c r="H31" s="515"/>
    </row>
    <row r="32" spans="1:8" x14ac:dyDescent="0.25">
      <c r="A32" s="516" t="s">
        <v>234</v>
      </c>
      <c r="B32" s="517"/>
      <c r="C32" s="177" t="s">
        <v>331</v>
      </c>
      <c r="D32" s="178">
        <v>40</v>
      </c>
      <c r="E32" s="737">
        <v>170</v>
      </c>
      <c r="F32" s="737"/>
      <c r="G32" s="514">
        <f t="shared" si="0"/>
        <v>6800</v>
      </c>
      <c r="H32" s="515"/>
    </row>
    <row r="33" spans="1:8" x14ac:dyDescent="0.25">
      <c r="A33" s="516" t="s">
        <v>268</v>
      </c>
      <c r="B33" s="517"/>
      <c r="C33" s="270">
        <v>0.05</v>
      </c>
      <c r="D33" s="178"/>
      <c r="E33" s="526"/>
      <c r="F33" s="526"/>
      <c r="G33" s="514">
        <f>ROUND(SUM(G27:H32)*5%,0)</f>
        <v>13968</v>
      </c>
      <c r="H33" s="515"/>
    </row>
    <row r="34" spans="1:8" x14ac:dyDescent="0.25">
      <c r="A34" s="516"/>
      <c r="B34" s="517"/>
      <c r="C34" s="177"/>
      <c r="D34" s="178"/>
      <c r="E34" s="526"/>
      <c r="F34" s="526"/>
      <c r="G34" s="514"/>
      <c r="H34" s="515"/>
    </row>
    <row r="35" spans="1:8" x14ac:dyDescent="0.25">
      <c r="A35" s="179"/>
      <c r="B35" s="179"/>
      <c r="C35" s="523" t="s">
        <v>174</v>
      </c>
      <c r="D35" s="523"/>
      <c r="E35" s="523"/>
      <c r="F35" s="523"/>
      <c r="G35" s="524">
        <f>SUM(G27:H34)</f>
        <v>293328</v>
      </c>
      <c r="H35" s="524"/>
    </row>
    <row r="36" spans="1:8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x14ac:dyDescent="0.25">
      <c r="A37" s="170" t="s">
        <v>181</v>
      </c>
      <c r="B37" s="171"/>
      <c r="C37" s="171"/>
      <c r="D37" s="171"/>
      <c r="E37" s="171"/>
      <c r="F37" s="171"/>
      <c r="G37" s="171"/>
      <c r="H37" s="171"/>
    </row>
    <row r="38" spans="1:8" x14ac:dyDescent="0.25">
      <c r="A38" s="509" t="s">
        <v>182</v>
      </c>
      <c r="B38" s="509"/>
      <c r="C38" s="180" t="s">
        <v>183</v>
      </c>
      <c r="D38" s="181" t="s">
        <v>184</v>
      </c>
      <c r="E38" s="174" t="s">
        <v>269</v>
      </c>
      <c r="F38" s="174" t="s">
        <v>270</v>
      </c>
      <c r="G38" s="509" t="s">
        <v>171</v>
      </c>
      <c r="H38" s="509"/>
    </row>
    <row r="39" spans="1:8" x14ac:dyDescent="0.25">
      <c r="A39" s="527" t="s">
        <v>328</v>
      </c>
      <c r="B39" s="527"/>
      <c r="C39" s="279">
        <f>+E29</f>
        <v>0.51500000000000001</v>
      </c>
      <c r="D39" s="259">
        <v>70</v>
      </c>
      <c r="E39" s="184">
        <f>+C39*D39</f>
        <v>36.050000000000004</v>
      </c>
      <c r="F39" s="184">
        <v>1000</v>
      </c>
      <c r="G39" s="528">
        <f>+F39*E39</f>
        <v>36050.000000000007</v>
      </c>
      <c r="H39" s="528"/>
    </row>
    <row r="40" spans="1:8" x14ac:dyDescent="0.25">
      <c r="A40" s="527" t="s">
        <v>326</v>
      </c>
      <c r="B40" s="527"/>
      <c r="C40" s="279">
        <f>+E28</f>
        <v>0.9</v>
      </c>
      <c r="D40" s="259">
        <f>+D39</f>
        <v>70</v>
      </c>
      <c r="E40" s="184">
        <f>+C40*D40</f>
        <v>63</v>
      </c>
      <c r="F40" s="184">
        <v>1000</v>
      </c>
      <c r="G40" s="528">
        <f>+F40*E40</f>
        <v>63000</v>
      </c>
      <c r="H40" s="528"/>
    </row>
    <row r="41" spans="1:8" x14ac:dyDescent="0.25">
      <c r="A41" s="527" t="str">
        <f>+'[3]630.5'!$A$32</f>
        <v>Cemento</v>
      </c>
      <c r="B41" s="527"/>
      <c r="C41" s="280">
        <f>+E27</f>
        <v>320</v>
      </c>
      <c r="D41" s="259">
        <v>30</v>
      </c>
      <c r="E41" s="281">
        <f>+C41*D41</f>
        <v>9600</v>
      </c>
      <c r="F41" s="184">
        <v>0.8</v>
      </c>
      <c r="G41" s="528">
        <f>+F41*E41</f>
        <v>7680</v>
      </c>
      <c r="H41" s="528"/>
    </row>
    <row r="42" spans="1:8" x14ac:dyDescent="0.25">
      <c r="A42" s="179"/>
      <c r="B42" s="179"/>
      <c r="C42" s="523" t="s">
        <v>174</v>
      </c>
      <c r="D42" s="523"/>
      <c r="E42" s="523"/>
      <c r="F42" s="523"/>
      <c r="G42" s="524">
        <f>SUM(G39:H41)</f>
        <v>106730</v>
      </c>
      <c r="H42" s="524"/>
    </row>
    <row r="43" spans="1:8" x14ac:dyDescent="0.25">
      <c r="A43" s="159"/>
      <c r="B43" s="159"/>
      <c r="C43" s="159"/>
      <c r="D43" s="159"/>
      <c r="E43" s="159"/>
      <c r="F43" s="159"/>
      <c r="G43" s="159"/>
      <c r="H43" s="159"/>
    </row>
    <row r="44" spans="1:8" x14ac:dyDescent="0.25">
      <c r="A44" s="170" t="s">
        <v>186</v>
      </c>
      <c r="B44" s="171"/>
      <c r="C44" s="171"/>
      <c r="D44" s="171"/>
      <c r="E44" s="171"/>
      <c r="F44" s="171"/>
      <c r="G44" s="171"/>
      <c r="H44" s="171"/>
    </row>
    <row r="45" spans="1:8" x14ac:dyDescent="0.25">
      <c r="A45" s="509" t="s">
        <v>187</v>
      </c>
      <c r="B45" s="509"/>
      <c r="C45" s="174" t="s">
        <v>188</v>
      </c>
      <c r="D45" s="181" t="s">
        <v>189</v>
      </c>
      <c r="E45" s="185" t="s">
        <v>190</v>
      </c>
      <c r="F45" s="186" t="s">
        <v>170</v>
      </c>
      <c r="G45" s="509" t="s">
        <v>171</v>
      </c>
      <c r="H45" s="509"/>
    </row>
    <row r="46" spans="1:8" x14ac:dyDescent="0.25">
      <c r="A46" s="574" t="s">
        <v>201</v>
      </c>
      <c r="B46" s="575"/>
      <c r="C46" s="178">
        <v>60000</v>
      </c>
      <c r="D46" s="188">
        <v>1.85</v>
      </c>
      <c r="E46" s="178">
        <f>+C46*D46</f>
        <v>111000</v>
      </c>
      <c r="F46" s="189">
        <v>6</v>
      </c>
      <c r="G46" s="528">
        <f>+ROUND(E46/F46,0)</f>
        <v>18500</v>
      </c>
      <c r="H46" s="528"/>
    </row>
    <row r="47" spans="1:8" x14ac:dyDescent="0.25">
      <c r="A47" s="739" t="s">
        <v>242</v>
      </c>
      <c r="B47" s="739"/>
      <c r="C47" s="178">
        <f>35000*6</f>
        <v>210000</v>
      </c>
      <c r="D47" s="188">
        <v>1.85</v>
      </c>
      <c r="E47" s="178">
        <f>+C47*D47</f>
        <v>388500</v>
      </c>
      <c r="F47" s="189">
        <v>6</v>
      </c>
      <c r="G47" s="528">
        <f>+ROUND(E47/F47,0)</f>
        <v>64750</v>
      </c>
      <c r="H47" s="528"/>
    </row>
    <row r="48" spans="1:8" x14ac:dyDescent="0.25">
      <c r="A48" s="179"/>
      <c r="B48" s="179"/>
      <c r="C48" s="523" t="s">
        <v>174</v>
      </c>
      <c r="D48" s="523"/>
      <c r="E48" s="523"/>
      <c r="F48" s="523"/>
      <c r="G48" s="524">
        <f>SUM(G46:H47)</f>
        <v>83250</v>
      </c>
      <c r="H48" s="524"/>
    </row>
    <row r="49" spans="1:8" x14ac:dyDescent="0.25">
      <c r="A49" s="159"/>
      <c r="B49" s="159"/>
      <c r="C49" s="159"/>
      <c r="D49" s="159"/>
      <c r="E49" s="159"/>
      <c r="F49" s="159"/>
      <c r="G49" s="159"/>
      <c r="H49" s="159"/>
    </row>
    <row r="50" spans="1:8" x14ac:dyDescent="0.25">
      <c r="A50" s="159"/>
      <c r="B50" s="159"/>
      <c r="C50" s="159"/>
      <c r="D50" s="159"/>
      <c r="E50" s="159"/>
      <c r="F50" s="159"/>
      <c r="G50" s="159"/>
      <c r="H50" s="159"/>
    </row>
    <row r="51" spans="1:8" x14ac:dyDescent="0.25">
      <c r="A51" s="532" t="s">
        <v>193</v>
      </c>
      <c r="B51" s="532"/>
      <c r="C51" s="532"/>
      <c r="D51" s="532"/>
      <c r="E51" s="532"/>
      <c r="F51" s="532"/>
      <c r="G51" s="533">
        <f>+ROUND(G23+G35+G42+G48,0)</f>
        <v>544433</v>
      </c>
      <c r="H51" s="534"/>
    </row>
    <row r="52" spans="1:8" x14ac:dyDescent="0.25">
      <c r="G52" s="309">
        <f>+G51</f>
        <v>544433</v>
      </c>
    </row>
    <row r="53" spans="1:8" x14ac:dyDescent="0.25">
      <c r="G53" s="311"/>
    </row>
  </sheetData>
  <mergeCells count="84">
    <mergeCell ref="A47:B47"/>
    <mergeCell ref="G47:H47"/>
    <mergeCell ref="C48:F48"/>
    <mergeCell ref="G48:H48"/>
    <mergeCell ref="A51:F51"/>
    <mergeCell ref="G51:H51"/>
    <mergeCell ref="C42:F42"/>
    <mergeCell ref="G42:H42"/>
    <mergeCell ref="A45:B45"/>
    <mergeCell ref="G45:H45"/>
    <mergeCell ref="A46:B46"/>
    <mergeCell ref="G46:H46"/>
    <mergeCell ref="A39:B39"/>
    <mergeCell ref="G39:H39"/>
    <mergeCell ref="A40:B40"/>
    <mergeCell ref="G40:H40"/>
    <mergeCell ref="A41:B41"/>
    <mergeCell ref="G41:H41"/>
    <mergeCell ref="A38:B38"/>
    <mergeCell ref="G38:H38"/>
    <mergeCell ref="A32:B32"/>
    <mergeCell ref="E32:F32"/>
    <mergeCell ref="G32:H32"/>
    <mergeCell ref="A33:B33"/>
    <mergeCell ref="E33:F33"/>
    <mergeCell ref="G33:H33"/>
    <mergeCell ref="A34:B34"/>
    <mergeCell ref="E34:F34"/>
    <mergeCell ref="G34:H34"/>
    <mergeCell ref="C35:F35"/>
    <mergeCell ref="G35:H35"/>
    <mergeCell ref="A30:B30"/>
    <mergeCell ref="E30:F30"/>
    <mergeCell ref="G30:H30"/>
    <mergeCell ref="A31:B31"/>
    <mergeCell ref="E31:F31"/>
    <mergeCell ref="G31:H31"/>
    <mergeCell ref="A28:B28"/>
    <mergeCell ref="E28:F28"/>
    <mergeCell ref="G28:H28"/>
    <mergeCell ref="A29:B29"/>
    <mergeCell ref="E29:F29"/>
    <mergeCell ref="G29:H29"/>
    <mergeCell ref="A26:B26"/>
    <mergeCell ref="E26:F26"/>
    <mergeCell ref="G26:H26"/>
    <mergeCell ref="A27:B27"/>
    <mergeCell ref="E27:F27"/>
    <mergeCell ref="G27:H27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2"/>
  <sheetViews>
    <sheetView workbookViewId="0">
      <selection activeCell="G51" sqref="G51:H51"/>
    </sheetView>
  </sheetViews>
  <sheetFormatPr baseColWidth="10" defaultRowHeight="15" x14ac:dyDescent="0.25"/>
  <cols>
    <col min="11" max="11" width="28.140625" bestFit="1" customWidth="1"/>
  </cols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67"/>
      <c r="F10" s="159"/>
      <c r="G10" s="159"/>
      <c r="H10" s="159"/>
    </row>
    <row r="11" spans="1:8" ht="53.2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282"/>
      <c r="B14" s="283"/>
      <c r="C14" s="283"/>
      <c r="D14" s="283"/>
      <c r="E14" s="283"/>
      <c r="F14" s="283"/>
      <c r="G14" s="283"/>
      <c r="H14" s="283"/>
    </row>
    <row r="15" spans="1:8" x14ac:dyDescent="0.25">
      <c r="A15" s="740" t="s">
        <v>362</v>
      </c>
      <c r="B15" s="743" t="s">
        <v>332</v>
      </c>
      <c r="C15" s="744"/>
      <c r="D15" s="744"/>
      <c r="E15" s="744"/>
      <c r="F15" s="745"/>
      <c r="G15" s="740" t="s">
        <v>250</v>
      </c>
      <c r="H15" s="752" t="s">
        <v>102</v>
      </c>
    </row>
    <row r="16" spans="1:8" x14ac:dyDescent="0.25">
      <c r="A16" s="741"/>
      <c r="B16" s="746"/>
      <c r="C16" s="747"/>
      <c r="D16" s="747"/>
      <c r="E16" s="747"/>
      <c r="F16" s="748"/>
      <c r="G16" s="741"/>
      <c r="H16" s="753"/>
    </row>
    <row r="17" spans="1:10" ht="15.75" thickBot="1" x14ac:dyDescent="0.3">
      <c r="A17" s="742"/>
      <c r="B17" s="749"/>
      <c r="C17" s="750"/>
      <c r="D17" s="750"/>
      <c r="E17" s="750"/>
      <c r="F17" s="751"/>
      <c r="G17" s="742"/>
      <c r="H17" s="754"/>
    </row>
    <row r="18" spans="1:10" x14ac:dyDescent="0.25">
      <c r="A18" s="284" t="s">
        <v>168</v>
      </c>
      <c r="B18" s="285"/>
      <c r="C18" s="285"/>
      <c r="D18" s="285"/>
      <c r="E18" s="285"/>
      <c r="F18" s="285"/>
      <c r="G18" s="285"/>
      <c r="H18" s="285"/>
    </row>
    <row r="19" spans="1:10" x14ac:dyDescent="0.25">
      <c r="A19" s="755" t="s">
        <v>1</v>
      </c>
      <c r="B19" s="755"/>
      <c r="C19" s="755" t="s">
        <v>169</v>
      </c>
      <c r="D19" s="755"/>
      <c r="E19" s="755" t="s">
        <v>170</v>
      </c>
      <c r="F19" s="755"/>
      <c r="G19" s="755" t="s">
        <v>171</v>
      </c>
      <c r="H19" s="755"/>
    </row>
    <row r="20" spans="1:10" x14ac:dyDescent="0.25">
      <c r="A20" s="510" t="s">
        <v>333</v>
      </c>
      <c r="B20" s="511"/>
      <c r="C20" s="512">
        <v>50000</v>
      </c>
      <c r="D20" s="512"/>
      <c r="E20" s="756">
        <f>+$F$46/8</f>
        <v>1.5</v>
      </c>
      <c r="F20" s="756"/>
      <c r="G20" s="757">
        <f>+C20/E20</f>
        <v>33333.333333333336</v>
      </c>
      <c r="H20" s="757"/>
    </row>
    <row r="21" spans="1:10" x14ac:dyDescent="0.25">
      <c r="A21" s="510" t="s">
        <v>334</v>
      </c>
      <c r="B21" s="511"/>
      <c r="C21" s="512">
        <v>12000</v>
      </c>
      <c r="D21" s="512"/>
      <c r="E21" s="756">
        <f>+$F$46/8</f>
        <v>1.5</v>
      </c>
      <c r="F21" s="756"/>
      <c r="G21" s="757">
        <f>+C21*E21</f>
        <v>18000</v>
      </c>
      <c r="H21" s="757"/>
    </row>
    <row r="22" spans="1:10" x14ac:dyDescent="0.25">
      <c r="A22" s="510" t="s">
        <v>231</v>
      </c>
      <c r="B22" s="511"/>
      <c r="C22" s="512">
        <v>8000</v>
      </c>
      <c r="D22" s="512"/>
      <c r="E22" s="756">
        <f>+$F$46/8</f>
        <v>1.5</v>
      </c>
      <c r="F22" s="756"/>
      <c r="G22" s="757">
        <f>+C22*E22</f>
        <v>12000</v>
      </c>
      <c r="H22" s="757"/>
    </row>
    <row r="23" spans="1:10" x14ac:dyDescent="0.25">
      <c r="A23" s="760" t="s">
        <v>232</v>
      </c>
      <c r="B23" s="761"/>
      <c r="C23" s="762">
        <v>15000</v>
      </c>
      <c r="D23" s="762"/>
      <c r="E23" s="756">
        <f>+$F$46/8</f>
        <v>1.5</v>
      </c>
      <c r="F23" s="756"/>
      <c r="G23" s="757">
        <f>+C23/E23</f>
        <v>10000</v>
      </c>
      <c r="H23" s="757"/>
    </row>
    <row r="24" spans="1:10" x14ac:dyDescent="0.25">
      <c r="A24" s="574" t="s">
        <v>173</v>
      </c>
      <c r="B24" s="575"/>
      <c r="C24" s="576"/>
      <c r="D24" s="576"/>
      <c r="E24" s="763">
        <v>0.1</v>
      </c>
      <c r="F24" s="763"/>
      <c r="G24" s="757">
        <f>ROUND(E24*G48,0)</f>
        <v>3083</v>
      </c>
      <c r="H24" s="757"/>
    </row>
    <row r="25" spans="1:10" x14ac:dyDescent="0.25">
      <c r="A25" s="285"/>
      <c r="B25" s="285"/>
      <c r="C25" s="755" t="s">
        <v>174</v>
      </c>
      <c r="D25" s="755"/>
      <c r="E25" s="755"/>
      <c r="F25" s="755"/>
      <c r="G25" s="764">
        <f>SUM(G20:H24)</f>
        <v>76416.333333333343</v>
      </c>
      <c r="H25" s="764"/>
    </row>
    <row r="26" spans="1:10" x14ac:dyDescent="0.25">
      <c r="A26" s="285"/>
      <c r="B26" s="285"/>
      <c r="C26" s="286"/>
      <c r="D26" s="286"/>
      <c r="E26" s="286"/>
      <c r="F26" s="286"/>
      <c r="G26" s="287"/>
      <c r="H26" s="287"/>
    </row>
    <row r="27" spans="1:10" x14ac:dyDescent="0.25">
      <c r="A27" s="288" t="s">
        <v>175</v>
      </c>
      <c r="B27" s="285"/>
      <c r="C27" s="285"/>
      <c r="D27" s="285"/>
      <c r="E27" s="285"/>
      <c r="F27" s="285"/>
      <c r="G27" s="285"/>
      <c r="H27" s="285"/>
    </row>
    <row r="28" spans="1:10" x14ac:dyDescent="0.25">
      <c r="A28" s="755" t="s">
        <v>1</v>
      </c>
      <c r="B28" s="755"/>
      <c r="C28" s="289" t="s">
        <v>176</v>
      </c>
      <c r="D28" s="289" t="s">
        <v>177</v>
      </c>
      <c r="E28" s="755" t="s">
        <v>3</v>
      </c>
      <c r="F28" s="755"/>
      <c r="G28" s="755" t="s">
        <v>171</v>
      </c>
      <c r="H28" s="755"/>
    </row>
    <row r="29" spans="1:10" x14ac:dyDescent="0.25">
      <c r="A29" s="516" t="s">
        <v>325</v>
      </c>
      <c r="B29" s="517"/>
      <c r="C29" s="290" t="s">
        <v>218</v>
      </c>
      <c r="D29" s="178">
        <v>520</v>
      </c>
      <c r="E29" s="758">
        <f>350*1.3*0.15*1.05</f>
        <v>71.662500000000009</v>
      </c>
      <c r="F29" s="759"/>
      <c r="G29" s="514">
        <f>ROUND(D29*E29,0)</f>
        <v>37265</v>
      </c>
      <c r="H29" s="515"/>
      <c r="I29" s="302"/>
      <c r="J29" s="302"/>
    </row>
    <row r="30" spans="1:10" x14ac:dyDescent="0.25">
      <c r="A30" s="516" t="s">
        <v>326</v>
      </c>
      <c r="B30" s="517"/>
      <c r="C30" s="290" t="s">
        <v>327</v>
      </c>
      <c r="D30" s="176">
        <v>75000</v>
      </c>
      <c r="E30" s="758">
        <f>0.9*1.3*0.15*1.05</f>
        <v>0.18427500000000002</v>
      </c>
      <c r="F30" s="759"/>
      <c r="G30" s="514">
        <f>ROUND(D30*E30,0)</f>
        <v>13821</v>
      </c>
      <c r="H30" s="515"/>
    </row>
    <row r="31" spans="1:10" x14ac:dyDescent="0.25">
      <c r="A31" s="516" t="s">
        <v>328</v>
      </c>
      <c r="B31" s="517"/>
      <c r="C31" s="290" t="s">
        <v>327</v>
      </c>
      <c r="D31" s="176">
        <v>60000</v>
      </c>
      <c r="E31" s="758">
        <f>0.515*1.3*0.15*1.05</f>
        <v>0.10544625000000002</v>
      </c>
      <c r="F31" s="759"/>
      <c r="G31" s="514">
        <f>ROUND(D31*E31,0)</f>
        <v>6327</v>
      </c>
      <c r="H31" s="515"/>
    </row>
    <row r="32" spans="1:10" x14ac:dyDescent="0.25">
      <c r="A32" s="516" t="s">
        <v>234</v>
      </c>
      <c r="B32" s="517"/>
      <c r="C32" s="290" t="s">
        <v>331</v>
      </c>
      <c r="D32" s="176">
        <v>40</v>
      </c>
      <c r="E32" s="758">
        <f>170*1.3*0.15*1.05</f>
        <v>34.807499999999997</v>
      </c>
      <c r="F32" s="759"/>
      <c r="G32" s="514">
        <f>ROUND(D32*E32,0)</f>
        <v>1392</v>
      </c>
      <c r="H32" s="515"/>
    </row>
    <row r="33" spans="1:8" x14ac:dyDescent="0.25">
      <c r="A33" s="597" t="s">
        <v>239</v>
      </c>
      <c r="B33" s="598"/>
      <c r="C33" s="291" t="s">
        <v>218</v>
      </c>
      <c r="D33" s="178">
        <v>2900</v>
      </c>
      <c r="E33" s="765">
        <v>1.7</v>
      </c>
      <c r="F33" s="766"/>
      <c r="G33" s="514">
        <f>+D33*E33</f>
        <v>4930</v>
      </c>
      <c r="H33" s="515"/>
    </row>
    <row r="34" spans="1:8" x14ac:dyDescent="0.25">
      <c r="A34" s="739" t="s">
        <v>335</v>
      </c>
      <c r="B34" s="739"/>
      <c r="C34" s="290" t="s">
        <v>93</v>
      </c>
      <c r="D34" s="292">
        <v>35000</v>
      </c>
      <c r="E34" s="767">
        <f>1.3*0.2</f>
        <v>0.26</v>
      </c>
      <c r="F34" s="768"/>
      <c r="G34" s="769">
        <f>+D34*E34</f>
        <v>9100</v>
      </c>
      <c r="H34" s="770"/>
    </row>
    <row r="35" spans="1:8" x14ac:dyDescent="0.25">
      <c r="A35" s="293"/>
      <c r="B35" s="293"/>
      <c r="C35" s="755" t="s">
        <v>174</v>
      </c>
      <c r="D35" s="755"/>
      <c r="E35" s="755"/>
      <c r="F35" s="755"/>
      <c r="G35" s="764">
        <f>SUM(G29:H34)</f>
        <v>72835</v>
      </c>
      <c r="H35" s="764"/>
    </row>
    <row r="36" spans="1:8" x14ac:dyDescent="0.25">
      <c r="A36" s="285"/>
      <c r="B36" s="285"/>
      <c r="C36" s="285"/>
      <c r="D36" s="285"/>
      <c r="E36" s="285"/>
      <c r="F36" s="285"/>
      <c r="G36" s="285"/>
      <c r="H36" s="285"/>
    </row>
    <row r="37" spans="1:8" x14ac:dyDescent="0.25">
      <c r="A37" s="288" t="s">
        <v>181</v>
      </c>
      <c r="B37" s="285"/>
      <c r="C37" s="285"/>
      <c r="D37" s="285"/>
      <c r="E37" s="285"/>
      <c r="F37" s="285"/>
      <c r="G37" s="285"/>
      <c r="H37" s="285"/>
    </row>
    <row r="38" spans="1:8" x14ac:dyDescent="0.25">
      <c r="A38" s="755" t="s">
        <v>182</v>
      </c>
      <c r="B38" s="755"/>
      <c r="C38" s="289" t="s">
        <v>183</v>
      </c>
      <c r="D38" s="294" t="s">
        <v>184</v>
      </c>
      <c r="E38" s="755" t="s">
        <v>185</v>
      </c>
      <c r="F38" s="755"/>
      <c r="G38" s="755" t="s">
        <v>171</v>
      </c>
      <c r="H38" s="755"/>
    </row>
    <row r="39" spans="1:8" x14ac:dyDescent="0.25">
      <c r="A39" s="739" t="s">
        <v>336</v>
      </c>
      <c r="B39" s="739"/>
      <c r="C39" s="212">
        <v>1.05</v>
      </c>
      <c r="D39" s="212">
        <v>70</v>
      </c>
      <c r="E39" s="576">
        <v>1000</v>
      </c>
      <c r="F39" s="576"/>
      <c r="G39" s="757">
        <f>+E39*D39*C39</f>
        <v>73500</v>
      </c>
      <c r="H39" s="757"/>
    </row>
    <row r="40" spans="1:8" x14ac:dyDescent="0.25">
      <c r="A40" s="739" t="s">
        <v>337</v>
      </c>
      <c r="B40" s="739"/>
      <c r="C40" s="212">
        <v>1.7</v>
      </c>
      <c r="D40" s="212">
        <v>30</v>
      </c>
      <c r="E40" s="576">
        <v>26</v>
      </c>
      <c r="F40" s="576"/>
      <c r="G40" s="757">
        <f>+E40*D40*C40</f>
        <v>1326</v>
      </c>
      <c r="H40" s="757"/>
    </row>
    <row r="41" spans="1:8" x14ac:dyDescent="0.25">
      <c r="A41" s="739" t="s">
        <v>335</v>
      </c>
      <c r="B41" s="739"/>
      <c r="C41" s="212">
        <f>+E34</f>
        <v>0.26</v>
      </c>
      <c r="D41" s="212">
        <v>70</v>
      </c>
      <c r="E41" s="576">
        <v>1000</v>
      </c>
      <c r="F41" s="576"/>
      <c r="G41" s="757">
        <f>+E41*D41*C41</f>
        <v>18200</v>
      </c>
      <c r="H41" s="757"/>
    </row>
    <row r="42" spans="1:8" x14ac:dyDescent="0.25">
      <c r="A42" s="293"/>
      <c r="B42" s="293"/>
      <c r="C42" s="755" t="s">
        <v>174</v>
      </c>
      <c r="D42" s="755"/>
      <c r="E42" s="755"/>
      <c r="F42" s="755"/>
      <c r="G42" s="764">
        <f>+SUM(G39:H41)</f>
        <v>93026</v>
      </c>
      <c r="H42" s="764"/>
    </row>
    <row r="43" spans="1:8" x14ac:dyDescent="0.25">
      <c r="A43" s="285"/>
      <c r="B43" s="285"/>
      <c r="C43" s="285"/>
      <c r="D43" s="285"/>
      <c r="E43" s="285"/>
      <c r="F43" s="285"/>
      <c r="G43" s="285"/>
      <c r="H43" s="285"/>
    </row>
    <row r="44" spans="1:8" x14ac:dyDescent="0.25">
      <c r="A44" s="288" t="s">
        <v>186</v>
      </c>
      <c r="B44" s="285"/>
      <c r="C44" s="285"/>
      <c r="D44" s="285"/>
      <c r="E44" s="285"/>
      <c r="F44" s="285"/>
      <c r="G44" s="285"/>
      <c r="H44" s="285"/>
    </row>
    <row r="45" spans="1:8" x14ac:dyDescent="0.25">
      <c r="A45" s="755" t="s">
        <v>187</v>
      </c>
      <c r="B45" s="755"/>
      <c r="C45" s="295" t="s">
        <v>188</v>
      </c>
      <c r="D45" s="294" t="s">
        <v>189</v>
      </c>
      <c r="E45" s="289" t="s">
        <v>190</v>
      </c>
      <c r="F45" s="294" t="s">
        <v>170</v>
      </c>
      <c r="G45" s="755" t="s">
        <v>171</v>
      </c>
      <c r="H45" s="755"/>
    </row>
    <row r="46" spans="1:8" x14ac:dyDescent="0.25">
      <c r="A46" s="574" t="s">
        <v>201</v>
      </c>
      <c r="B46" s="575"/>
      <c r="C46" s="296">
        <v>60000</v>
      </c>
      <c r="D46" s="297">
        <v>0.85</v>
      </c>
      <c r="E46" s="296">
        <f>+C46*(1+D46)</f>
        <v>111000</v>
      </c>
      <c r="F46" s="212">
        <v>12</v>
      </c>
      <c r="G46" s="757">
        <f>+E46/F46</f>
        <v>9250</v>
      </c>
      <c r="H46" s="757"/>
    </row>
    <row r="47" spans="1:8" x14ac:dyDescent="0.25">
      <c r="A47" s="739" t="s">
        <v>229</v>
      </c>
      <c r="B47" s="739"/>
      <c r="C47" s="296">
        <f>35000*4</f>
        <v>140000</v>
      </c>
      <c r="D47" s="297">
        <v>0.85</v>
      </c>
      <c r="E47" s="296">
        <f>+C47*(1+D47)</f>
        <v>259000</v>
      </c>
      <c r="F47" s="212">
        <f>+F46</f>
        <v>12</v>
      </c>
      <c r="G47" s="757">
        <f>+E47/F47</f>
        <v>21583.333333333332</v>
      </c>
      <c r="H47" s="757"/>
    </row>
    <row r="48" spans="1:8" x14ac:dyDescent="0.25">
      <c r="A48" s="293"/>
      <c r="B48" s="293"/>
      <c r="C48" s="755" t="s">
        <v>174</v>
      </c>
      <c r="D48" s="755"/>
      <c r="E48" s="755"/>
      <c r="F48" s="755"/>
      <c r="G48" s="764">
        <f>ROUND(G46+G47,0)</f>
        <v>30833</v>
      </c>
      <c r="H48" s="764"/>
    </row>
    <row r="49" spans="1:8" x14ac:dyDescent="0.25">
      <c r="A49" s="285"/>
      <c r="B49" s="285"/>
      <c r="C49" s="285"/>
      <c r="D49" s="285"/>
      <c r="E49" s="285"/>
      <c r="F49" s="285"/>
      <c r="G49" s="298"/>
      <c r="H49" s="298"/>
    </row>
    <row r="50" spans="1:8" x14ac:dyDescent="0.25">
      <c r="A50" s="285"/>
      <c r="B50" s="285"/>
      <c r="C50" s="285"/>
      <c r="D50" s="285"/>
      <c r="E50" s="285"/>
      <c r="F50" s="285"/>
      <c r="G50" s="298"/>
      <c r="H50" s="298"/>
    </row>
    <row r="51" spans="1:8" x14ac:dyDescent="0.25">
      <c r="A51" s="771" t="s">
        <v>193</v>
      </c>
      <c r="B51" s="771"/>
      <c r="C51" s="771"/>
      <c r="D51" s="771"/>
      <c r="E51" s="771"/>
      <c r="F51" s="771"/>
      <c r="G51" s="772">
        <f>+ROUND(G25+G35+G42+G48,0)</f>
        <v>273110</v>
      </c>
      <c r="H51" s="772"/>
    </row>
    <row r="52" spans="1:8" x14ac:dyDescent="0.25">
      <c r="G52" s="309">
        <f>+G51</f>
        <v>273110</v>
      </c>
    </row>
  </sheetData>
  <mergeCells count="86">
    <mergeCell ref="C48:F48"/>
    <mergeCell ref="G48:H48"/>
    <mergeCell ref="A51:F51"/>
    <mergeCell ref="G51:H51"/>
    <mergeCell ref="A46:B46"/>
    <mergeCell ref="G46:H46"/>
    <mergeCell ref="A47:B47"/>
    <mergeCell ref="G47:H47"/>
    <mergeCell ref="A45:B45"/>
    <mergeCell ref="G45:H45"/>
    <mergeCell ref="A39:B39"/>
    <mergeCell ref="E39:F39"/>
    <mergeCell ref="G39:H39"/>
    <mergeCell ref="A40:B40"/>
    <mergeCell ref="E40:F40"/>
    <mergeCell ref="G40:H40"/>
    <mergeCell ref="A41:B41"/>
    <mergeCell ref="E41:F41"/>
    <mergeCell ref="G41:H41"/>
    <mergeCell ref="C42:F42"/>
    <mergeCell ref="G42:H42"/>
    <mergeCell ref="A38:B38"/>
    <mergeCell ref="E38:F38"/>
    <mergeCell ref="G38:H38"/>
    <mergeCell ref="A32:B32"/>
    <mergeCell ref="E32:F32"/>
    <mergeCell ref="G32:H32"/>
    <mergeCell ref="A33:B33"/>
    <mergeCell ref="E33:F33"/>
    <mergeCell ref="G33:H33"/>
    <mergeCell ref="A34:B34"/>
    <mergeCell ref="E34:F34"/>
    <mergeCell ref="G34:H34"/>
    <mergeCell ref="C35:F35"/>
    <mergeCell ref="G35:H35"/>
    <mergeCell ref="A30:B30"/>
    <mergeCell ref="E30:F30"/>
    <mergeCell ref="G30:H30"/>
    <mergeCell ref="A31:B31"/>
    <mergeCell ref="E31:F31"/>
    <mergeCell ref="G31:H31"/>
    <mergeCell ref="A29:B29"/>
    <mergeCell ref="E29:F29"/>
    <mergeCell ref="G29:H29"/>
    <mergeCell ref="A23:B23"/>
    <mergeCell ref="C23:D23"/>
    <mergeCell ref="E23:F23"/>
    <mergeCell ref="G23:H23"/>
    <mergeCell ref="A24:B24"/>
    <mergeCell ref="C24:D24"/>
    <mergeCell ref="E24:F24"/>
    <mergeCell ref="G24:H24"/>
    <mergeCell ref="C25:F25"/>
    <mergeCell ref="G25:H25"/>
    <mergeCell ref="A28:B28"/>
    <mergeCell ref="E28:F28"/>
    <mergeCell ref="G28:H28"/>
    <mergeCell ref="A21:B21"/>
    <mergeCell ref="C21:D21"/>
    <mergeCell ref="E21:F21"/>
    <mergeCell ref="G21:H21"/>
    <mergeCell ref="A22:B22"/>
    <mergeCell ref="C22:D22"/>
    <mergeCell ref="E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8:H8"/>
    <mergeCell ref="G9:H9"/>
    <mergeCell ref="A11:H13"/>
    <mergeCell ref="A15:A17"/>
    <mergeCell ref="B15:F17"/>
    <mergeCell ref="G15:G17"/>
    <mergeCell ref="H15:H17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1"/>
  <sheetViews>
    <sheetView topLeftCell="A19" workbookViewId="0">
      <selection activeCell="G50" sqref="G50:H50"/>
    </sheetView>
  </sheetViews>
  <sheetFormatPr baseColWidth="10" defaultRowHeight="15" x14ac:dyDescent="0.25"/>
  <sheetData>
    <row r="1" spans="1:8" s="159" customFormat="1" ht="18" x14ac:dyDescent="0.2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s="159" customFormat="1" ht="12.75" x14ac:dyDescent="0.2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s="159" customFormat="1" ht="12.75" x14ac:dyDescent="0.2">
      <c r="A3" s="486"/>
      <c r="B3" s="487"/>
      <c r="C3" s="160"/>
      <c r="D3" s="161"/>
      <c r="E3" s="161"/>
      <c r="F3" s="162"/>
      <c r="G3" s="486"/>
      <c r="H3" s="487"/>
    </row>
    <row r="4" spans="1:8" s="159" customFormat="1" ht="12.75" x14ac:dyDescent="0.2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s="159" customFormat="1" ht="12.75" x14ac:dyDescent="0.2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s="159" customFormat="1" ht="13.5" thickBot="1" x14ac:dyDescent="0.25">
      <c r="A6" s="488"/>
      <c r="B6" s="489"/>
      <c r="C6" s="163"/>
      <c r="D6" s="164"/>
      <c r="E6" s="164"/>
      <c r="F6" s="165"/>
      <c r="G6" s="488"/>
      <c r="H6" s="489"/>
    </row>
    <row r="7" spans="1:8" s="159" customFormat="1" ht="12.75" x14ac:dyDescent="0.2"/>
    <row r="8" spans="1:8" s="159" customFormat="1" ht="13.5" thickBot="1" x14ac:dyDescent="0.25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s="159" customFormat="1" ht="13.5" thickBot="1" x14ac:dyDescent="0.25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s="159" customFormat="1" ht="13.5" thickBot="1" x14ac:dyDescent="0.25">
      <c r="E10" s="167"/>
    </row>
    <row r="11" spans="1:8" s="159" customFormat="1" ht="53.25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s="159" customFormat="1" ht="17.2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s="159" customFormat="1" ht="17.2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s="159" customFormat="1" ht="13.5" thickBot="1" x14ac:dyDescent="0.25">
      <c r="A14" s="168"/>
    </row>
    <row r="15" spans="1:8" s="159" customFormat="1" ht="31.5" customHeight="1" x14ac:dyDescent="0.2">
      <c r="A15" s="416" t="s">
        <v>363</v>
      </c>
      <c r="B15" s="499" t="s">
        <v>338</v>
      </c>
      <c r="C15" s="500"/>
      <c r="D15" s="500"/>
      <c r="E15" s="500"/>
      <c r="F15" s="501"/>
      <c r="G15" s="505" t="s">
        <v>250</v>
      </c>
      <c r="H15" s="507" t="s">
        <v>167</v>
      </c>
    </row>
    <row r="16" spans="1:8" s="159" customFormat="1" ht="30.75" customHeight="1" thickBot="1" x14ac:dyDescent="0.25">
      <c r="A16" s="417"/>
      <c r="B16" s="502"/>
      <c r="C16" s="503"/>
      <c r="D16" s="503"/>
      <c r="E16" s="503"/>
      <c r="F16" s="504"/>
      <c r="G16" s="506"/>
      <c r="H16" s="508"/>
    </row>
    <row r="17" spans="1:8" s="159" customFormat="1" ht="13.5" x14ac:dyDescent="0.2">
      <c r="A17" s="170" t="s">
        <v>168</v>
      </c>
    </row>
    <row r="18" spans="1:8" s="159" customFormat="1" ht="12.75" x14ac:dyDescent="0.2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s="159" customFormat="1" ht="12.75" x14ac:dyDescent="0.2">
      <c r="A19" s="510" t="s">
        <v>285</v>
      </c>
      <c r="B19" s="511"/>
      <c r="C19" s="512">
        <v>90000</v>
      </c>
      <c r="D19" s="512"/>
      <c r="E19" s="535">
        <f>+F45/8</f>
        <v>3.125</v>
      </c>
      <c r="F19" s="535"/>
      <c r="G19" s="514">
        <f>+C19/E19</f>
        <v>28800</v>
      </c>
      <c r="H19" s="515"/>
    </row>
    <row r="20" spans="1:8" s="159" customFormat="1" ht="12.75" x14ac:dyDescent="0.2">
      <c r="A20" s="510" t="s">
        <v>339</v>
      </c>
      <c r="B20" s="511"/>
      <c r="C20" s="512">
        <v>30000</v>
      </c>
      <c r="D20" s="512"/>
      <c r="E20" s="535">
        <f>+E19</f>
        <v>3.125</v>
      </c>
      <c r="F20" s="535"/>
      <c r="G20" s="514">
        <f>+C20/E20</f>
        <v>9600</v>
      </c>
      <c r="H20" s="515"/>
    </row>
    <row r="21" spans="1:8" s="159" customFormat="1" ht="12.75" x14ac:dyDescent="0.2">
      <c r="A21" s="510" t="s">
        <v>340</v>
      </c>
      <c r="B21" s="511"/>
      <c r="C21" s="512">
        <v>90000</v>
      </c>
      <c r="D21" s="512"/>
      <c r="E21" s="535">
        <v>80</v>
      </c>
      <c r="F21" s="535"/>
      <c r="G21" s="514">
        <f>+C21/E21</f>
        <v>1125</v>
      </c>
      <c r="H21" s="515"/>
    </row>
    <row r="22" spans="1:8" s="159" customFormat="1" ht="12.75" x14ac:dyDescent="0.2">
      <c r="A22" s="510" t="s">
        <v>341</v>
      </c>
      <c r="B22" s="511"/>
      <c r="C22" s="512">
        <v>90000</v>
      </c>
      <c r="D22" s="512"/>
      <c r="E22" s="535">
        <v>40</v>
      </c>
      <c r="F22" s="535"/>
      <c r="G22" s="514">
        <f>+C22/E22</f>
        <v>2250</v>
      </c>
      <c r="H22" s="515"/>
    </row>
    <row r="23" spans="1:8" s="159" customFormat="1" ht="12.75" x14ac:dyDescent="0.2">
      <c r="A23" s="510" t="s">
        <v>342</v>
      </c>
      <c r="B23" s="511"/>
      <c r="C23" s="512">
        <v>25000</v>
      </c>
      <c r="D23" s="512"/>
      <c r="E23" s="535">
        <f>+E19</f>
        <v>3.125</v>
      </c>
      <c r="F23" s="535"/>
      <c r="G23" s="514">
        <f>+C23/E23</f>
        <v>8000</v>
      </c>
      <c r="H23" s="515"/>
    </row>
    <row r="24" spans="1:8" s="159" customFormat="1" ht="12.75" x14ac:dyDescent="0.2">
      <c r="A24" s="510" t="s">
        <v>173</v>
      </c>
      <c r="B24" s="511"/>
      <c r="C24" s="512"/>
      <c r="D24" s="512"/>
      <c r="E24" s="521">
        <v>0.1</v>
      </c>
      <c r="F24" s="522"/>
      <c r="G24" s="514">
        <f>ROUND(E24*G47,0)</f>
        <v>1480</v>
      </c>
      <c r="H24" s="515"/>
    </row>
    <row r="25" spans="1:8" s="159" customFormat="1" ht="12.75" x14ac:dyDescent="0.2">
      <c r="A25" s="171"/>
      <c r="B25" s="171"/>
      <c r="C25" s="523" t="s">
        <v>174</v>
      </c>
      <c r="D25" s="523"/>
      <c r="E25" s="523"/>
      <c r="F25" s="523"/>
      <c r="G25" s="524">
        <f>SUM(G19:H24)</f>
        <v>51255</v>
      </c>
      <c r="H25" s="524"/>
    </row>
    <row r="26" spans="1:8" s="159" customFormat="1" ht="13.5" x14ac:dyDescent="0.25">
      <c r="C26" s="172"/>
      <c r="D26" s="172"/>
      <c r="E26" s="172"/>
      <c r="F26" s="172"/>
      <c r="G26" s="173"/>
      <c r="H26" s="173"/>
    </row>
    <row r="27" spans="1:8" s="159" customFormat="1" ht="13.5" x14ac:dyDescent="0.2">
      <c r="A27" s="170" t="s">
        <v>175</v>
      </c>
      <c r="B27" s="171"/>
      <c r="C27" s="171"/>
      <c r="D27" s="171"/>
      <c r="E27" s="171"/>
      <c r="F27" s="171"/>
      <c r="G27" s="171"/>
      <c r="H27" s="171"/>
    </row>
    <row r="28" spans="1:8" s="159" customFormat="1" ht="12.75" x14ac:dyDescent="0.2">
      <c r="A28" s="509" t="s">
        <v>1</v>
      </c>
      <c r="B28" s="509"/>
      <c r="C28" s="174" t="s">
        <v>176</v>
      </c>
      <c r="D28" s="174" t="s">
        <v>177</v>
      </c>
      <c r="E28" s="509" t="s">
        <v>3</v>
      </c>
      <c r="F28" s="509"/>
      <c r="G28" s="509" t="s">
        <v>171</v>
      </c>
      <c r="H28" s="509"/>
    </row>
    <row r="29" spans="1:8" s="299" customFormat="1" ht="12.75" x14ac:dyDescent="0.2">
      <c r="A29" s="516" t="s">
        <v>343</v>
      </c>
      <c r="B29" s="517"/>
      <c r="C29" s="175" t="s">
        <v>167</v>
      </c>
      <c r="D29" s="176">
        <v>40000</v>
      </c>
      <c r="E29" s="518">
        <v>1</v>
      </c>
      <c r="F29" s="518"/>
      <c r="G29" s="519">
        <f>ROUND(D29*E29,0)</f>
        <v>40000</v>
      </c>
      <c r="H29" s="520"/>
    </row>
    <row r="30" spans="1:8" s="299" customFormat="1" ht="12.75" x14ac:dyDescent="0.2">
      <c r="A30" s="516" t="s">
        <v>344</v>
      </c>
      <c r="B30" s="517"/>
      <c r="C30" s="175" t="s">
        <v>345</v>
      </c>
      <c r="D30" s="176">
        <v>37</v>
      </c>
      <c r="E30" s="518">
        <v>1.8</v>
      </c>
      <c r="F30" s="518"/>
      <c r="G30" s="519">
        <f>ROUND(D30*E30,0)</f>
        <v>67</v>
      </c>
      <c r="H30" s="520"/>
    </row>
    <row r="31" spans="1:8" s="299" customFormat="1" ht="12.75" x14ac:dyDescent="0.2">
      <c r="A31" s="516" t="s">
        <v>234</v>
      </c>
      <c r="B31" s="517"/>
      <c r="C31" s="175" t="s">
        <v>346</v>
      </c>
      <c r="D31" s="176">
        <v>40</v>
      </c>
      <c r="E31" s="518">
        <v>10</v>
      </c>
      <c r="F31" s="518"/>
      <c r="G31" s="519">
        <f>ROUND(D31*E31,0)</f>
        <v>400</v>
      </c>
      <c r="H31" s="520"/>
    </row>
    <row r="32" spans="1:8" s="299" customFormat="1" ht="12.75" x14ac:dyDescent="0.2">
      <c r="A32" s="516" t="s">
        <v>347</v>
      </c>
      <c r="B32" s="517"/>
      <c r="C32" s="175" t="s">
        <v>345</v>
      </c>
      <c r="D32" s="176">
        <v>8000</v>
      </c>
      <c r="E32" s="518">
        <v>1</v>
      </c>
      <c r="F32" s="518"/>
      <c r="G32" s="519">
        <f>ROUND(D32*E32,0)</f>
        <v>8000</v>
      </c>
      <c r="H32" s="520"/>
    </row>
    <row r="33" spans="1:8" s="159" customFormat="1" ht="12.75" x14ac:dyDescent="0.2">
      <c r="A33" s="516" t="s">
        <v>288</v>
      </c>
      <c r="B33" s="517"/>
      <c r="C33" s="177"/>
      <c r="D33" s="213"/>
      <c r="E33" s="525">
        <v>0.1</v>
      </c>
      <c r="F33" s="525"/>
      <c r="G33" s="514">
        <f>ROUND(SUM(G29:H32)*E33,0)</f>
        <v>4847</v>
      </c>
      <c r="H33" s="515"/>
    </row>
    <row r="34" spans="1:8" s="159" customFormat="1" ht="12.75" x14ac:dyDescent="0.2">
      <c r="A34" s="516"/>
      <c r="B34" s="517"/>
      <c r="C34" s="177"/>
      <c r="D34" s="178"/>
      <c r="E34" s="526"/>
      <c r="F34" s="526"/>
      <c r="G34" s="514"/>
      <c r="H34" s="515"/>
    </row>
    <row r="35" spans="1:8" s="159" customFormat="1" ht="12.75" x14ac:dyDescent="0.2">
      <c r="A35" s="179"/>
      <c r="B35" s="179"/>
      <c r="C35" s="523" t="s">
        <v>174</v>
      </c>
      <c r="D35" s="523"/>
      <c r="E35" s="523"/>
      <c r="F35" s="523"/>
      <c r="G35" s="524">
        <f>SUM(G29:H34)</f>
        <v>53314</v>
      </c>
      <c r="H35" s="524"/>
    </row>
    <row r="36" spans="1:8" s="159" customFormat="1" ht="12.75" x14ac:dyDescent="0.2"/>
    <row r="37" spans="1:8" s="159" customFormat="1" ht="13.5" x14ac:dyDescent="0.2">
      <c r="A37" s="170" t="s">
        <v>181</v>
      </c>
      <c r="B37" s="171"/>
      <c r="C37" s="171"/>
      <c r="D37" s="171"/>
      <c r="E37" s="171"/>
      <c r="F37" s="171"/>
      <c r="G37" s="171"/>
      <c r="H37" s="171"/>
    </row>
    <row r="38" spans="1:8" s="159" customFormat="1" ht="12.75" x14ac:dyDescent="0.2">
      <c r="A38" s="509" t="s">
        <v>182</v>
      </c>
      <c r="B38" s="509"/>
      <c r="C38" s="180" t="s">
        <v>183</v>
      </c>
      <c r="D38" s="181" t="s">
        <v>184</v>
      </c>
      <c r="E38" s="174" t="s">
        <v>269</v>
      </c>
      <c r="F38" s="174" t="s">
        <v>270</v>
      </c>
      <c r="G38" s="509" t="s">
        <v>171</v>
      </c>
      <c r="H38" s="509"/>
    </row>
    <row r="39" spans="1:8" s="159" customFormat="1" ht="12.75" x14ac:dyDescent="0.2">
      <c r="A39" s="527" t="s">
        <v>348</v>
      </c>
      <c r="B39" s="527"/>
      <c r="C39" s="279">
        <v>4.7E-2</v>
      </c>
      <c r="D39" s="183">
        <v>140</v>
      </c>
      <c r="E39" s="184">
        <f>+C39*D39</f>
        <v>6.58</v>
      </c>
      <c r="F39" s="184">
        <v>1000</v>
      </c>
      <c r="G39" s="528">
        <f>+F39*E39</f>
        <v>6580</v>
      </c>
      <c r="H39" s="528"/>
    </row>
    <row r="40" spans="1:8" s="159" customFormat="1" ht="12.75" x14ac:dyDescent="0.2">
      <c r="A40" s="527"/>
      <c r="B40" s="527"/>
      <c r="C40" s="279"/>
      <c r="D40" s="183"/>
      <c r="E40" s="184"/>
      <c r="F40" s="184"/>
      <c r="G40" s="528">
        <f>+F40*E40</f>
        <v>0</v>
      </c>
      <c r="H40" s="528"/>
    </row>
    <row r="41" spans="1:8" s="159" customFormat="1" ht="12.75" x14ac:dyDescent="0.2">
      <c r="A41" s="179"/>
      <c r="B41" s="179"/>
      <c r="C41" s="523" t="s">
        <v>174</v>
      </c>
      <c r="D41" s="523"/>
      <c r="E41" s="523"/>
      <c r="F41" s="523"/>
      <c r="G41" s="524">
        <f>SUM(G39:H40)</f>
        <v>6580</v>
      </c>
      <c r="H41" s="524"/>
    </row>
    <row r="42" spans="1:8" s="159" customFormat="1" ht="12.75" x14ac:dyDescent="0.2"/>
    <row r="43" spans="1:8" s="159" customFormat="1" ht="13.5" x14ac:dyDescent="0.2">
      <c r="A43" s="170" t="s">
        <v>186</v>
      </c>
      <c r="B43" s="171"/>
      <c r="C43" s="171"/>
      <c r="D43" s="171"/>
      <c r="E43" s="171"/>
      <c r="F43" s="171"/>
      <c r="G43" s="171"/>
      <c r="H43" s="171"/>
    </row>
    <row r="44" spans="1:8" s="159" customFormat="1" ht="12.75" x14ac:dyDescent="0.2">
      <c r="A44" s="509" t="s">
        <v>187</v>
      </c>
      <c r="B44" s="509"/>
      <c r="C44" s="174" t="s">
        <v>188</v>
      </c>
      <c r="D44" s="181" t="s">
        <v>189</v>
      </c>
      <c r="E44" s="185" t="s">
        <v>190</v>
      </c>
      <c r="F44" s="186" t="s">
        <v>170</v>
      </c>
      <c r="G44" s="509" t="s">
        <v>171</v>
      </c>
      <c r="H44" s="509"/>
    </row>
    <row r="45" spans="1:8" s="159" customFormat="1" ht="12.75" x14ac:dyDescent="0.2">
      <c r="A45" s="574" t="s">
        <v>201</v>
      </c>
      <c r="B45" s="575"/>
      <c r="C45" s="178">
        <v>60000</v>
      </c>
      <c r="D45" s="188">
        <v>1.85</v>
      </c>
      <c r="E45" s="178">
        <f>+C45*D45</f>
        <v>111000</v>
      </c>
      <c r="F45" s="226">
        <v>25</v>
      </c>
      <c r="G45" s="514">
        <f>+ROUND(E45/F45,0)</f>
        <v>4440</v>
      </c>
      <c r="H45" s="515"/>
    </row>
    <row r="46" spans="1:8" s="159" customFormat="1" ht="12.75" x14ac:dyDescent="0.2">
      <c r="A46" s="739" t="s">
        <v>229</v>
      </c>
      <c r="B46" s="739"/>
      <c r="C46" s="178">
        <f>35000*4</f>
        <v>140000</v>
      </c>
      <c r="D46" s="188">
        <v>1.85</v>
      </c>
      <c r="E46" s="178">
        <f>+C46*D46</f>
        <v>259000</v>
      </c>
      <c r="F46" s="226">
        <v>25</v>
      </c>
      <c r="G46" s="528">
        <f>+ROUND(E46/F46,0)</f>
        <v>10360</v>
      </c>
      <c r="H46" s="528"/>
    </row>
    <row r="47" spans="1:8" s="159" customFormat="1" ht="12.75" x14ac:dyDescent="0.2">
      <c r="A47" s="179"/>
      <c r="B47" s="179"/>
      <c r="C47" s="523" t="s">
        <v>174</v>
      </c>
      <c r="D47" s="523"/>
      <c r="E47" s="523"/>
      <c r="F47" s="523"/>
      <c r="G47" s="524">
        <f>SUM(G45:H46)</f>
        <v>14800</v>
      </c>
      <c r="H47" s="524"/>
    </row>
    <row r="48" spans="1:8" s="159" customFormat="1" ht="12.75" x14ac:dyDescent="0.2"/>
    <row r="49" spans="1:8" s="159" customFormat="1" ht="12.75" x14ac:dyDescent="0.2"/>
    <row r="50" spans="1:8" s="159" customFormat="1" ht="12.75" x14ac:dyDescent="0.2">
      <c r="A50" s="532" t="s">
        <v>193</v>
      </c>
      <c r="B50" s="532"/>
      <c r="C50" s="532"/>
      <c r="D50" s="532"/>
      <c r="E50" s="532"/>
      <c r="F50" s="532"/>
      <c r="G50" s="533">
        <f>+ROUND(G25+G35+G41+G47,0)</f>
        <v>125949</v>
      </c>
      <c r="H50" s="534"/>
    </row>
    <row r="51" spans="1:8" x14ac:dyDescent="0.25">
      <c r="G51" s="309">
        <f>+G50</f>
        <v>125949</v>
      </c>
    </row>
  </sheetData>
  <mergeCells count="84">
    <mergeCell ref="C41:F41"/>
    <mergeCell ref="G41:H41"/>
    <mergeCell ref="A44:B44"/>
    <mergeCell ref="G44:H44"/>
    <mergeCell ref="A45:B45"/>
    <mergeCell ref="G45:H45"/>
    <mergeCell ref="A46:B46"/>
    <mergeCell ref="G46:H46"/>
    <mergeCell ref="C47:F47"/>
    <mergeCell ref="G47:H47"/>
    <mergeCell ref="A50:F50"/>
    <mergeCell ref="G50:H50"/>
    <mergeCell ref="A40:B40"/>
    <mergeCell ref="G40:H40"/>
    <mergeCell ref="A34:B34"/>
    <mergeCell ref="E34:F34"/>
    <mergeCell ref="G34:H34"/>
    <mergeCell ref="C35:F35"/>
    <mergeCell ref="G35:H35"/>
    <mergeCell ref="A38:B38"/>
    <mergeCell ref="G38:H38"/>
    <mergeCell ref="A33:B33"/>
    <mergeCell ref="E33:F33"/>
    <mergeCell ref="G33:H33"/>
    <mergeCell ref="A39:B39"/>
    <mergeCell ref="G39:H39"/>
    <mergeCell ref="A31:B31"/>
    <mergeCell ref="E31:F31"/>
    <mergeCell ref="G31:H31"/>
    <mergeCell ref="A32:B32"/>
    <mergeCell ref="E32:F32"/>
    <mergeCell ref="G32:H32"/>
    <mergeCell ref="A29:B29"/>
    <mergeCell ref="G29:H29"/>
    <mergeCell ref="A30:B30"/>
    <mergeCell ref="G30:H30"/>
    <mergeCell ref="G19:H19"/>
    <mergeCell ref="A20:B20"/>
    <mergeCell ref="E20:F20"/>
    <mergeCell ref="G20:H20"/>
    <mergeCell ref="C20:D20"/>
    <mergeCell ref="E29:F29"/>
    <mergeCell ref="E30:F30"/>
    <mergeCell ref="A24:B24"/>
    <mergeCell ref="C24:D24"/>
    <mergeCell ref="E24:F24"/>
    <mergeCell ref="C25:F25"/>
    <mergeCell ref="G25:H25"/>
    <mergeCell ref="A15:A16"/>
    <mergeCell ref="B15:F16"/>
    <mergeCell ref="G15:G16"/>
    <mergeCell ref="H15:H16"/>
    <mergeCell ref="C18:D18"/>
    <mergeCell ref="A18:B18"/>
    <mergeCell ref="E18:F18"/>
    <mergeCell ref="G18:H18"/>
    <mergeCell ref="A21:B21"/>
    <mergeCell ref="E21:F21"/>
    <mergeCell ref="G21:H21"/>
    <mergeCell ref="C21:D21"/>
    <mergeCell ref="A19:B19"/>
    <mergeCell ref="E19:F19"/>
    <mergeCell ref="C19:D19"/>
    <mergeCell ref="G24:H24"/>
    <mergeCell ref="A28:B28"/>
    <mergeCell ref="G28:H28"/>
    <mergeCell ref="E28:F28"/>
    <mergeCell ref="A22:B22"/>
    <mergeCell ref="E22:F22"/>
    <mergeCell ref="G22:H22"/>
    <mergeCell ref="A23:B23"/>
    <mergeCell ref="E23:F23"/>
    <mergeCell ref="G23:H23"/>
    <mergeCell ref="C22:D22"/>
    <mergeCell ref="C23:D23"/>
    <mergeCell ref="A11:H13"/>
    <mergeCell ref="G9:H9"/>
    <mergeCell ref="A8:H8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1"/>
  <sheetViews>
    <sheetView workbookViewId="0">
      <selection activeCell="K7" sqref="K7"/>
    </sheetView>
  </sheetViews>
  <sheetFormatPr baseColWidth="10" defaultRowHeight="15" x14ac:dyDescent="0.25"/>
  <sheetData>
    <row r="1" spans="1:8" s="159" customFormat="1" ht="18" x14ac:dyDescent="0.2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s="159" customFormat="1" ht="12.75" x14ac:dyDescent="0.2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s="159" customFormat="1" ht="12.75" x14ac:dyDescent="0.2">
      <c r="A3" s="486"/>
      <c r="B3" s="487"/>
      <c r="C3" s="160"/>
      <c r="D3" s="161"/>
      <c r="E3" s="161"/>
      <c r="F3" s="162"/>
      <c r="G3" s="486"/>
      <c r="H3" s="487"/>
    </row>
    <row r="4" spans="1:8" s="159" customFormat="1" ht="12.75" x14ac:dyDescent="0.2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s="159" customFormat="1" ht="12.75" x14ac:dyDescent="0.2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s="159" customFormat="1" ht="13.5" thickBot="1" x14ac:dyDescent="0.25">
      <c r="A6" s="488"/>
      <c r="B6" s="489"/>
      <c r="C6" s="163"/>
      <c r="D6" s="164"/>
      <c r="E6" s="164"/>
      <c r="F6" s="165"/>
      <c r="G6" s="488"/>
      <c r="H6" s="489"/>
    </row>
    <row r="7" spans="1:8" s="159" customFormat="1" ht="12.75" x14ac:dyDescent="0.2"/>
    <row r="8" spans="1:8" s="159" customFormat="1" ht="13.5" thickBot="1" x14ac:dyDescent="0.25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s="159" customFormat="1" ht="13.5" thickBot="1" x14ac:dyDescent="0.25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s="159" customFormat="1" ht="13.5" thickBot="1" x14ac:dyDescent="0.25">
      <c r="E10" s="167"/>
    </row>
    <row r="11" spans="1:8" s="159" customFormat="1" ht="44.25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s="159" customFormat="1" ht="17.2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s="159" customFormat="1" ht="17.2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s="159" customFormat="1" ht="13.5" thickBot="1" x14ac:dyDescent="0.25">
      <c r="A14" s="168"/>
    </row>
    <row r="15" spans="1:8" s="159" customFormat="1" ht="29.25" customHeight="1" x14ac:dyDescent="0.2">
      <c r="A15" s="416" t="s">
        <v>353</v>
      </c>
      <c r="B15" s="499" t="s">
        <v>349</v>
      </c>
      <c r="C15" s="500"/>
      <c r="D15" s="500"/>
      <c r="E15" s="500"/>
      <c r="F15" s="501"/>
      <c r="G15" s="505" t="s">
        <v>250</v>
      </c>
      <c r="H15" s="507" t="s">
        <v>167</v>
      </c>
    </row>
    <row r="16" spans="1:8" s="159" customFormat="1" ht="29.25" customHeight="1" thickBot="1" x14ac:dyDescent="0.25">
      <c r="A16" s="417"/>
      <c r="B16" s="502"/>
      <c r="C16" s="503"/>
      <c r="D16" s="503"/>
      <c r="E16" s="503"/>
      <c r="F16" s="504"/>
      <c r="G16" s="506"/>
      <c r="H16" s="508"/>
    </row>
    <row r="17" spans="1:9" s="159" customFormat="1" ht="13.5" x14ac:dyDescent="0.2">
      <c r="A17" s="170" t="s">
        <v>168</v>
      </c>
    </row>
    <row r="18" spans="1:9" s="159" customFormat="1" ht="12.75" x14ac:dyDescent="0.2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9" s="159" customFormat="1" ht="12.75" x14ac:dyDescent="0.2">
      <c r="A19" s="510" t="s">
        <v>285</v>
      </c>
      <c r="B19" s="511"/>
      <c r="C19" s="512">
        <v>90000</v>
      </c>
      <c r="D19" s="512"/>
      <c r="E19" s="535">
        <f>+F45/8</f>
        <v>6.6662499999999998</v>
      </c>
      <c r="F19" s="535"/>
      <c r="G19" s="514">
        <f>+C19/E19</f>
        <v>13500.843802737672</v>
      </c>
      <c r="H19" s="515"/>
    </row>
    <row r="20" spans="1:9" s="159" customFormat="1" ht="12.75" x14ac:dyDescent="0.2">
      <c r="A20" s="510" t="s">
        <v>342</v>
      </c>
      <c r="B20" s="511"/>
      <c r="C20" s="512">
        <v>25000</v>
      </c>
      <c r="D20" s="512"/>
      <c r="E20" s="535">
        <f>+E19</f>
        <v>6.6662499999999998</v>
      </c>
      <c r="F20" s="535"/>
      <c r="G20" s="514">
        <f>+C20/E20</f>
        <v>3750.234389649353</v>
      </c>
      <c r="H20" s="515"/>
      <c r="I20" s="300"/>
    </row>
    <row r="21" spans="1:9" s="159" customFormat="1" ht="12.75" x14ac:dyDescent="0.2">
      <c r="A21" s="510" t="s">
        <v>340</v>
      </c>
      <c r="B21" s="511"/>
      <c r="C21" s="512">
        <f>+C19</f>
        <v>90000</v>
      </c>
      <c r="D21" s="512"/>
      <c r="E21" s="535">
        <v>80</v>
      </c>
      <c r="F21" s="535"/>
      <c r="G21" s="514">
        <f>+C21/E21</f>
        <v>1125</v>
      </c>
      <c r="H21" s="515"/>
    </row>
    <row r="22" spans="1:9" s="159" customFormat="1" ht="12.75" x14ac:dyDescent="0.2">
      <c r="A22" s="510" t="s">
        <v>341</v>
      </c>
      <c r="B22" s="511"/>
      <c r="C22" s="512">
        <f>+C21</f>
        <v>90000</v>
      </c>
      <c r="D22" s="512"/>
      <c r="E22" s="535">
        <v>40</v>
      </c>
      <c r="F22" s="535"/>
      <c r="G22" s="514">
        <f>+C22/E22</f>
        <v>2250</v>
      </c>
      <c r="H22" s="515"/>
    </row>
    <row r="23" spans="1:9" s="159" customFormat="1" ht="12.75" x14ac:dyDescent="0.2">
      <c r="A23" s="510" t="s">
        <v>173</v>
      </c>
      <c r="B23" s="511"/>
      <c r="C23" s="512"/>
      <c r="D23" s="512"/>
      <c r="E23" s="521">
        <v>0.1</v>
      </c>
      <c r="F23" s="522"/>
      <c r="G23" s="514">
        <f>ROUND(E23*G47,0)</f>
        <v>694</v>
      </c>
      <c r="H23" s="515"/>
    </row>
    <row r="24" spans="1:9" s="159" customFormat="1" ht="12.75" x14ac:dyDescent="0.2">
      <c r="A24" s="171"/>
      <c r="B24" s="171"/>
      <c r="C24" s="523" t="s">
        <v>174</v>
      </c>
      <c r="D24" s="523"/>
      <c r="E24" s="523"/>
      <c r="F24" s="523"/>
      <c r="G24" s="524">
        <f>SUM(G19:H23)</f>
        <v>21320.078192387024</v>
      </c>
      <c r="H24" s="524"/>
    </row>
    <row r="25" spans="1:9" s="159" customFormat="1" ht="13.5" x14ac:dyDescent="0.25">
      <c r="C25" s="172"/>
      <c r="D25" s="172"/>
      <c r="E25" s="172"/>
      <c r="F25" s="172"/>
      <c r="G25" s="173"/>
      <c r="H25" s="173"/>
    </row>
    <row r="26" spans="1:9" s="159" customFormat="1" ht="13.5" x14ac:dyDescent="0.2">
      <c r="A26" s="170" t="s">
        <v>175</v>
      </c>
      <c r="B26" s="171"/>
      <c r="C26" s="171"/>
      <c r="D26" s="171"/>
      <c r="E26" s="171"/>
      <c r="F26" s="171"/>
      <c r="G26" s="171"/>
      <c r="H26" s="171"/>
    </row>
    <row r="27" spans="1:9" s="159" customFormat="1" ht="12.75" x14ac:dyDescent="0.2">
      <c r="A27" s="509" t="s">
        <v>1</v>
      </c>
      <c r="B27" s="509"/>
      <c r="C27" s="174" t="s">
        <v>176</v>
      </c>
      <c r="D27" s="174" t="s">
        <v>177</v>
      </c>
      <c r="E27" s="509" t="s">
        <v>3</v>
      </c>
      <c r="F27" s="509"/>
      <c r="G27" s="509" t="s">
        <v>171</v>
      </c>
      <c r="H27" s="509"/>
    </row>
    <row r="28" spans="1:9" s="299" customFormat="1" ht="12.75" x14ac:dyDescent="0.2">
      <c r="A28" s="516" t="s">
        <v>350</v>
      </c>
      <c r="B28" s="517"/>
      <c r="C28" s="175" t="s">
        <v>167</v>
      </c>
      <c r="D28" s="176">
        <v>44000</v>
      </c>
      <c r="E28" s="518">
        <v>1</v>
      </c>
      <c r="F28" s="518"/>
      <c r="G28" s="519">
        <f t="shared" ref="G28:G32" si="0">ROUND(D28*E28,0)</f>
        <v>44000</v>
      </c>
      <c r="H28" s="520"/>
    </row>
    <row r="29" spans="1:9" s="299" customFormat="1" ht="12.75" x14ac:dyDescent="0.2">
      <c r="A29" s="516" t="s">
        <v>351</v>
      </c>
      <c r="B29" s="517"/>
      <c r="C29" s="175" t="s">
        <v>345</v>
      </c>
      <c r="D29" s="176">
        <v>37</v>
      </c>
      <c r="E29" s="518">
        <f>9*3/(10.7*2.8)</f>
        <v>0.90120160213618161</v>
      </c>
      <c r="F29" s="518"/>
      <c r="G29" s="519">
        <f t="shared" si="0"/>
        <v>33</v>
      </c>
      <c r="H29" s="520"/>
    </row>
    <row r="30" spans="1:9" s="299" customFormat="1" ht="12.75" customHeight="1" x14ac:dyDescent="0.2">
      <c r="A30" s="516" t="s">
        <v>352</v>
      </c>
      <c r="B30" s="517"/>
      <c r="C30" s="175" t="s">
        <v>93</v>
      </c>
      <c r="D30" s="176">
        <v>15000</v>
      </c>
      <c r="E30" s="518">
        <v>0.15</v>
      </c>
      <c r="F30" s="518"/>
      <c r="G30" s="519">
        <f t="shared" si="0"/>
        <v>2250</v>
      </c>
      <c r="H30" s="520"/>
    </row>
    <row r="31" spans="1:9" s="299" customFormat="1" ht="12.75" x14ac:dyDescent="0.2">
      <c r="A31" s="516" t="s">
        <v>234</v>
      </c>
      <c r="B31" s="517"/>
      <c r="C31" s="175" t="s">
        <v>346</v>
      </c>
      <c r="D31" s="176">
        <v>40</v>
      </c>
      <c r="E31" s="518">
        <v>10</v>
      </c>
      <c r="F31" s="518"/>
      <c r="G31" s="519">
        <f t="shared" si="0"/>
        <v>400</v>
      </c>
      <c r="H31" s="520"/>
    </row>
    <row r="32" spans="1:9" s="299" customFormat="1" ht="12.75" x14ac:dyDescent="0.2">
      <c r="A32" s="516" t="s">
        <v>347</v>
      </c>
      <c r="B32" s="517"/>
      <c r="C32" s="175" t="s">
        <v>345</v>
      </c>
      <c r="D32" s="176">
        <f>+[2]Materiales!F41</f>
        <v>8000</v>
      </c>
      <c r="E32" s="518">
        <v>1.8</v>
      </c>
      <c r="F32" s="518"/>
      <c r="G32" s="519">
        <f t="shared" si="0"/>
        <v>14400</v>
      </c>
      <c r="H32" s="520"/>
    </row>
    <row r="33" spans="1:12" s="159" customFormat="1" ht="12.75" x14ac:dyDescent="0.2">
      <c r="A33" s="516" t="s">
        <v>288</v>
      </c>
      <c r="B33" s="517"/>
      <c r="C33" s="177"/>
      <c r="D33" s="213">
        <v>0.1</v>
      </c>
      <c r="E33" s="526"/>
      <c r="F33" s="526"/>
      <c r="G33" s="514">
        <f>ROUND(SUM(G28:H32)*D33,0)</f>
        <v>6108</v>
      </c>
      <c r="H33" s="515"/>
    </row>
    <row r="34" spans="1:12" s="159" customFormat="1" ht="12.75" x14ac:dyDescent="0.2">
      <c r="A34" s="516"/>
      <c r="B34" s="517"/>
      <c r="C34" s="177"/>
      <c r="D34" s="178"/>
      <c r="E34" s="526"/>
      <c r="F34" s="526"/>
      <c r="G34" s="514"/>
      <c r="H34" s="515"/>
    </row>
    <row r="35" spans="1:12" s="159" customFormat="1" ht="12.75" x14ac:dyDescent="0.2">
      <c r="A35" s="179"/>
      <c r="B35" s="179"/>
      <c r="C35" s="523" t="s">
        <v>174</v>
      </c>
      <c r="D35" s="523"/>
      <c r="E35" s="523"/>
      <c r="F35" s="523"/>
      <c r="G35" s="524">
        <f>SUM(G28:H34)</f>
        <v>67191</v>
      </c>
      <c r="H35" s="524"/>
    </row>
    <row r="36" spans="1:12" s="159" customFormat="1" ht="12.75" x14ac:dyDescent="0.2"/>
    <row r="37" spans="1:12" s="159" customFormat="1" ht="13.5" x14ac:dyDescent="0.2">
      <c r="A37" s="170" t="s">
        <v>181</v>
      </c>
      <c r="B37" s="171"/>
      <c r="C37" s="171"/>
      <c r="D37" s="171"/>
      <c r="E37" s="171"/>
      <c r="F37" s="171"/>
      <c r="G37" s="171"/>
      <c r="H37" s="171"/>
    </row>
    <row r="38" spans="1:12" s="159" customFormat="1" ht="12.75" x14ac:dyDescent="0.2">
      <c r="A38" s="509" t="s">
        <v>182</v>
      </c>
      <c r="B38" s="509"/>
      <c r="C38" s="180" t="s">
        <v>183</v>
      </c>
      <c r="D38" s="181" t="s">
        <v>184</v>
      </c>
      <c r="E38" s="174" t="s">
        <v>269</v>
      </c>
      <c r="F38" s="174" t="s">
        <v>270</v>
      </c>
      <c r="G38" s="509" t="s">
        <v>171</v>
      </c>
      <c r="H38" s="509"/>
    </row>
    <row r="39" spans="1:12" s="159" customFormat="1" ht="12.75" x14ac:dyDescent="0.2">
      <c r="A39" s="527" t="s">
        <v>348</v>
      </c>
      <c r="B39" s="527"/>
      <c r="C39" s="279">
        <v>3.4957627118644037E-2</v>
      </c>
      <c r="D39" s="183">
        <v>140</v>
      </c>
      <c r="E39" s="184">
        <f>+C39*D39</f>
        <v>4.8940677966101651</v>
      </c>
      <c r="F39" s="184">
        <v>1000</v>
      </c>
      <c r="G39" s="528">
        <f>+F39*E39</f>
        <v>4894.0677966101648</v>
      </c>
      <c r="H39" s="528"/>
    </row>
    <row r="40" spans="1:12" s="159" customFormat="1" ht="12.75" x14ac:dyDescent="0.2">
      <c r="A40" s="527"/>
      <c r="B40" s="527"/>
      <c r="C40" s="279"/>
      <c r="D40" s="183"/>
      <c r="E40" s="184"/>
      <c r="F40" s="184"/>
      <c r="G40" s="528">
        <f>+F40*E40</f>
        <v>0</v>
      </c>
      <c r="H40" s="528"/>
    </row>
    <row r="41" spans="1:12" s="159" customFormat="1" ht="12.75" x14ac:dyDescent="0.2">
      <c r="A41" s="179"/>
      <c r="B41" s="179"/>
      <c r="C41" s="523" t="s">
        <v>174</v>
      </c>
      <c r="D41" s="523"/>
      <c r="E41" s="523"/>
      <c r="F41" s="523"/>
      <c r="G41" s="524">
        <f>SUM(G39:H40)</f>
        <v>4894.0677966101648</v>
      </c>
      <c r="H41" s="524"/>
    </row>
    <row r="42" spans="1:12" s="159" customFormat="1" ht="12.75" x14ac:dyDescent="0.2"/>
    <row r="43" spans="1:12" s="159" customFormat="1" ht="13.5" x14ac:dyDescent="0.2">
      <c r="A43" s="170" t="s">
        <v>186</v>
      </c>
      <c r="B43" s="171"/>
      <c r="C43" s="171"/>
      <c r="D43" s="171"/>
      <c r="E43" s="171"/>
      <c r="F43" s="171"/>
      <c r="G43" s="171"/>
      <c r="H43" s="171"/>
    </row>
    <row r="44" spans="1:12" s="159" customFormat="1" ht="12.75" x14ac:dyDescent="0.2">
      <c r="A44" s="509" t="s">
        <v>187</v>
      </c>
      <c r="B44" s="509"/>
      <c r="C44" s="174" t="s">
        <v>188</v>
      </c>
      <c r="D44" s="181" t="s">
        <v>189</v>
      </c>
      <c r="E44" s="185" t="s">
        <v>190</v>
      </c>
      <c r="F44" s="186" t="s">
        <v>170</v>
      </c>
      <c r="G44" s="509" t="s">
        <v>171</v>
      </c>
      <c r="H44" s="509"/>
      <c r="K44" s="187"/>
      <c r="L44" s="187"/>
    </row>
    <row r="45" spans="1:12" s="159" customFormat="1" ht="12.75" x14ac:dyDescent="0.2">
      <c r="A45" s="574" t="s">
        <v>201</v>
      </c>
      <c r="B45" s="575"/>
      <c r="C45" s="178">
        <v>60000</v>
      </c>
      <c r="D45" s="188">
        <v>1.85</v>
      </c>
      <c r="E45" s="178">
        <f>+C45*D45</f>
        <v>111000</v>
      </c>
      <c r="F45" s="226">
        <v>53.33</v>
      </c>
      <c r="G45" s="528">
        <f>+ROUND(E45/F45,0)</f>
        <v>2081</v>
      </c>
      <c r="H45" s="528"/>
      <c r="K45" s="190"/>
      <c r="L45" s="190"/>
    </row>
    <row r="46" spans="1:12" s="159" customFormat="1" ht="12.75" x14ac:dyDescent="0.2">
      <c r="A46" s="739" t="s">
        <v>229</v>
      </c>
      <c r="B46" s="739"/>
      <c r="C46" s="178">
        <f>35000*4</f>
        <v>140000</v>
      </c>
      <c r="D46" s="188">
        <v>1.85</v>
      </c>
      <c r="E46" s="178">
        <f>+C46*D46</f>
        <v>259000</v>
      </c>
      <c r="F46" s="226">
        <f>+F45</f>
        <v>53.33</v>
      </c>
      <c r="G46" s="528">
        <f>+ROUND(E46/F46,0)</f>
        <v>4857</v>
      </c>
      <c r="H46" s="528"/>
      <c r="J46" s="190"/>
      <c r="K46" s="190"/>
    </row>
    <row r="47" spans="1:12" s="159" customFormat="1" ht="12.75" x14ac:dyDescent="0.2">
      <c r="A47" s="179"/>
      <c r="B47" s="179"/>
      <c r="C47" s="523" t="s">
        <v>174</v>
      </c>
      <c r="D47" s="523"/>
      <c r="E47" s="523"/>
      <c r="F47" s="523"/>
      <c r="G47" s="524">
        <f>SUM(G45:H46)</f>
        <v>6938</v>
      </c>
      <c r="H47" s="524"/>
    </row>
    <row r="48" spans="1:12" s="159" customFormat="1" ht="12.75" x14ac:dyDescent="0.2"/>
    <row r="49" spans="1:9" s="159" customFormat="1" ht="12.75" x14ac:dyDescent="0.2"/>
    <row r="50" spans="1:9" s="159" customFormat="1" ht="12.75" x14ac:dyDescent="0.2">
      <c r="A50" s="532" t="s">
        <v>193</v>
      </c>
      <c r="B50" s="532"/>
      <c r="C50" s="532"/>
      <c r="D50" s="532"/>
      <c r="E50" s="532"/>
      <c r="F50" s="532"/>
      <c r="G50" s="533">
        <f>+ROUND(G24+G35+G41+G47,0)</f>
        <v>100343</v>
      </c>
      <c r="H50" s="534"/>
      <c r="I50" s="191"/>
    </row>
    <row r="51" spans="1:9" x14ac:dyDescent="0.25">
      <c r="G51" s="309">
        <f>+G50</f>
        <v>100343</v>
      </c>
    </row>
  </sheetData>
  <mergeCells count="83">
    <mergeCell ref="C47:F47"/>
    <mergeCell ref="G47:H47"/>
    <mergeCell ref="A50:F50"/>
    <mergeCell ref="G50:H50"/>
    <mergeCell ref="A44:B44"/>
    <mergeCell ref="G44:H44"/>
    <mergeCell ref="A45:B45"/>
    <mergeCell ref="G45:H45"/>
    <mergeCell ref="A46:B46"/>
    <mergeCell ref="G46:H46"/>
    <mergeCell ref="A39:B39"/>
    <mergeCell ref="G39:H39"/>
    <mergeCell ref="A40:B40"/>
    <mergeCell ref="G40:H40"/>
    <mergeCell ref="C41:F41"/>
    <mergeCell ref="G41:H41"/>
    <mergeCell ref="A38:B38"/>
    <mergeCell ref="G38:H38"/>
    <mergeCell ref="A33:B33"/>
    <mergeCell ref="E33:F33"/>
    <mergeCell ref="G33:H33"/>
    <mergeCell ref="A34:B34"/>
    <mergeCell ref="E34:F34"/>
    <mergeCell ref="G34:H34"/>
    <mergeCell ref="C35:F35"/>
    <mergeCell ref="G35:H35"/>
    <mergeCell ref="A31:B31"/>
    <mergeCell ref="E31:F31"/>
    <mergeCell ref="G31:H31"/>
    <mergeCell ref="A32:B32"/>
    <mergeCell ref="E32:F32"/>
    <mergeCell ref="G32:H32"/>
    <mergeCell ref="A29:B29"/>
    <mergeCell ref="E29:F29"/>
    <mergeCell ref="G29:H29"/>
    <mergeCell ref="A30:B30"/>
    <mergeCell ref="E30:F30"/>
    <mergeCell ref="G30:H30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9"/>
  <sheetViews>
    <sheetView workbookViewId="0">
      <selection activeCell="G48" sqref="G48:H48"/>
    </sheetView>
  </sheetViews>
  <sheetFormatPr baseColWidth="10" defaultRowHeight="15" x14ac:dyDescent="0.25"/>
  <cols>
    <col min="1" max="2" width="9.28515625" customWidth="1"/>
    <col min="7" max="8" width="9.28515625" customWidth="1"/>
    <col min="257" max="258" width="9.28515625" customWidth="1"/>
    <col min="263" max="264" width="9.28515625" customWidth="1"/>
    <col min="513" max="514" width="9.28515625" customWidth="1"/>
    <col min="519" max="520" width="9.28515625" customWidth="1"/>
    <col min="769" max="770" width="9.28515625" customWidth="1"/>
    <col min="775" max="776" width="9.28515625" customWidth="1"/>
    <col min="1025" max="1026" width="9.28515625" customWidth="1"/>
    <col min="1031" max="1032" width="9.28515625" customWidth="1"/>
    <col min="1281" max="1282" width="9.28515625" customWidth="1"/>
    <col min="1287" max="1288" width="9.28515625" customWidth="1"/>
    <col min="1537" max="1538" width="9.28515625" customWidth="1"/>
    <col min="1543" max="1544" width="9.28515625" customWidth="1"/>
    <col min="1793" max="1794" width="9.28515625" customWidth="1"/>
    <col min="1799" max="1800" width="9.28515625" customWidth="1"/>
    <col min="2049" max="2050" width="9.28515625" customWidth="1"/>
    <col min="2055" max="2056" width="9.28515625" customWidth="1"/>
    <col min="2305" max="2306" width="9.28515625" customWidth="1"/>
    <col min="2311" max="2312" width="9.28515625" customWidth="1"/>
    <col min="2561" max="2562" width="9.28515625" customWidth="1"/>
    <col min="2567" max="2568" width="9.28515625" customWidth="1"/>
    <col min="2817" max="2818" width="9.28515625" customWidth="1"/>
    <col min="2823" max="2824" width="9.28515625" customWidth="1"/>
    <col min="3073" max="3074" width="9.28515625" customWidth="1"/>
    <col min="3079" max="3080" width="9.28515625" customWidth="1"/>
    <col min="3329" max="3330" width="9.28515625" customWidth="1"/>
    <col min="3335" max="3336" width="9.28515625" customWidth="1"/>
    <col min="3585" max="3586" width="9.28515625" customWidth="1"/>
    <col min="3591" max="3592" width="9.28515625" customWidth="1"/>
    <col min="3841" max="3842" width="9.28515625" customWidth="1"/>
    <col min="3847" max="3848" width="9.28515625" customWidth="1"/>
    <col min="4097" max="4098" width="9.28515625" customWidth="1"/>
    <col min="4103" max="4104" width="9.28515625" customWidth="1"/>
    <col min="4353" max="4354" width="9.28515625" customWidth="1"/>
    <col min="4359" max="4360" width="9.28515625" customWidth="1"/>
    <col min="4609" max="4610" width="9.28515625" customWidth="1"/>
    <col min="4615" max="4616" width="9.28515625" customWidth="1"/>
    <col min="4865" max="4866" width="9.28515625" customWidth="1"/>
    <col min="4871" max="4872" width="9.28515625" customWidth="1"/>
    <col min="5121" max="5122" width="9.28515625" customWidth="1"/>
    <col min="5127" max="5128" width="9.28515625" customWidth="1"/>
    <col min="5377" max="5378" width="9.28515625" customWidth="1"/>
    <col min="5383" max="5384" width="9.28515625" customWidth="1"/>
    <col min="5633" max="5634" width="9.28515625" customWidth="1"/>
    <col min="5639" max="5640" width="9.28515625" customWidth="1"/>
    <col min="5889" max="5890" width="9.28515625" customWidth="1"/>
    <col min="5895" max="5896" width="9.28515625" customWidth="1"/>
    <col min="6145" max="6146" width="9.28515625" customWidth="1"/>
    <col min="6151" max="6152" width="9.28515625" customWidth="1"/>
    <col min="6401" max="6402" width="9.28515625" customWidth="1"/>
    <col min="6407" max="6408" width="9.28515625" customWidth="1"/>
    <col min="6657" max="6658" width="9.28515625" customWidth="1"/>
    <col min="6663" max="6664" width="9.28515625" customWidth="1"/>
    <col min="6913" max="6914" width="9.28515625" customWidth="1"/>
    <col min="6919" max="6920" width="9.28515625" customWidth="1"/>
    <col min="7169" max="7170" width="9.28515625" customWidth="1"/>
    <col min="7175" max="7176" width="9.28515625" customWidth="1"/>
    <col min="7425" max="7426" width="9.28515625" customWidth="1"/>
    <col min="7431" max="7432" width="9.28515625" customWidth="1"/>
    <col min="7681" max="7682" width="9.28515625" customWidth="1"/>
    <col min="7687" max="7688" width="9.28515625" customWidth="1"/>
    <col min="7937" max="7938" width="9.28515625" customWidth="1"/>
    <col min="7943" max="7944" width="9.28515625" customWidth="1"/>
    <col min="8193" max="8194" width="9.28515625" customWidth="1"/>
    <col min="8199" max="8200" width="9.28515625" customWidth="1"/>
    <col min="8449" max="8450" width="9.28515625" customWidth="1"/>
    <col min="8455" max="8456" width="9.28515625" customWidth="1"/>
    <col min="8705" max="8706" width="9.28515625" customWidth="1"/>
    <col min="8711" max="8712" width="9.28515625" customWidth="1"/>
    <col min="8961" max="8962" width="9.28515625" customWidth="1"/>
    <col min="8967" max="8968" width="9.28515625" customWidth="1"/>
    <col min="9217" max="9218" width="9.28515625" customWidth="1"/>
    <col min="9223" max="9224" width="9.28515625" customWidth="1"/>
    <col min="9473" max="9474" width="9.28515625" customWidth="1"/>
    <col min="9479" max="9480" width="9.28515625" customWidth="1"/>
    <col min="9729" max="9730" width="9.28515625" customWidth="1"/>
    <col min="9735" max="9736" width="9.28515625" customWidth="1"/>
    <col min="9985" max="9986" width="9.28515625" customWidth="1"/>
    <col min="9991" max="9992" width="9.28515625" customWidth="1"/>
    <col min="10241" max="10242" width="9.28515625" customWidth="1"/>
    <col min="10247" max="10248" width="9.28515625" customWidth="1"/>
    <col min="10497" max="10498" width="9.28515625" customWidth="1"/>
    <col min="10503" max="10504" width="9.28515625" customWidth="1"/>
    <col min="10753" max="10754" width="9.28515625" customWidth="1"/>
    <col min="10759" max="10760" width="9.28515625" customWidth="1"/>
    <col min="11009" max="11010" width="9.28515625" customWidth="1"/>
    <col min="11015" max="11016" width="9.28515625" customWidth="1"/>
    <col min="11265" max="11266" width="9.28515625" customWidth="1"/>
    <col min="11271" max="11272" width="9.28515625" customWidth="1"/>
    <col min="11521" max="11522" width="9.28515625" customWidth="1"/>
    <col min="11527" max="11528" width="9.28515625" customWidth="1"/>
    <col min="11777" max="11778" width="9.28515625" customWidth="1"/>
    <col min="11783" max="11784" width="9.28515625" customWidth="1"/>
    <col min="12033" max="12034" width="9.28515625" customWidth="1"/>
    <col min="12039" max="12040" width="9.28515625" customWidth="1"/>
    <col min="12289" max="12290" width="9.28515625" customWidth="1"/>
    <col min="12295" max="12296" width="9.28515625" customWidth="1"/>
    <col min="12545" max="12546" width="9.28515625" customWidth="1"/>
    <col min="12551" max="12552" width="9.28515625" customWidth="1"/>
    <col min="12801" max="12802" width="9.28515625" customWidth="1"/>
    <col min="12807" max="12808" width="9.28515625" customWidth="1"/>
    <col min="13057" max="13058" width="9.28515625" customWidth="1"/>
    <col min="13063" max="13064" width="9.28515625" customWidth="1"/>
    <col min="13313" max="13314" width="9.28515625" customWidth="1"/>
    <col min="13319" max="13320" width="9.28515625" customWidth="1"/>
    <col min="13569" max="13570" width="9.28515625" customWidth="1"/>
    <col min="13575" max="13576" width="9.28515625" customWidth="1"/>
    <col min="13825" max="13826" width="9.28515625" customWidth="1"/>
    <col min="13831" max="13832" width="9.28515625" customWidth="1"/>
    <col min="14081" max="14082" width="9.28515625" customWidth="1"/>
    <col min="14087" max="14088" width="9.28515625" customWidth="1"/>
    <col min="14337" max="14338" width="9.28515625" customWidth="1"/>
    <col min="14343" max="14344" width="9.28515625" customWidth="1"/>
    <col min="14593" max="14594" width="9.28515625" customWidth="1"/>
    <col min="14599" max="14600" width="9.28515625" customWidth="1"/>
    <col min="14849" max="14850" width="9.28515625" customWidth="1"/>
    <col min="14855" max="14856" width="9.28515625" customWidth="1"/>
    <col min="15105" max="15106" width="9.28515625" customWidth="1"/>
    <col min="15111" max="15112" width="9.28515625" customWidth="1"/>
    <col min="15361" max="15362" width="9.28515625" customWidth="1"/>
    <col min="15367" max="15368" width="9.28515625" customWidth="1"/>
    <col min="15617" max="15618" width="9.28515625" customWidth="1"/>
    <col min="15623" max="15624" width="9.28515625" customWidth="1"/>
    <col min="15873" max="15874" width="9.28515625" customWidth="1"/>
    <col min="15879" max="15880" width="9.28515625" customWidth="1"/>
    <col min="16129" max="16130" width="9.28515625" customWidth="1"/>
    <col min="16135" max="16136" width="9.28515625" customWidth="1"/>
  </cols>
  <sheetData>
    <row r="1" spans="1:8" ht="15.75" thickBot="1" x14ac:dyDescent="0.3"/>
    <row r="2" spans="1:8" ht="18" x14ac:dyDescent="0.25">
      <c r="A2" s="428"/>
      <c r="B2" s="429"/>
      <c r="C2" s="434" t="s">
        <v>160</v>
      </c>
      <c r="D2" s="435"/>
      <c r="E2" s="435"/>
      <c r="F2" s="436"/>
      <c r="G2" s="428"/>
      <c r="H2" s="429"/>
    </row>
    <row r="3" spans="1:8" x14ac:dyDescent="0.25">
      <c r="A3" s="430"/>
      <c r="B3" s="431"/>
      <c r="C3" s="437" t="s">
        <v>85</v>
      </c>
      <c r="D3" s="438"/>
      <c r="E3" s="438"/>
      <c r="F3" s="439"/>
      <c r="G3" s="430"/>
      <c r="H3" s="431"/>
    </row>
    <row r="4" spans="1:8" x14ac:dyDescent="0.25">
      <c r="A4" s="430"/>
      <c r="B4" s="431"/>
      <c r="C4" s="51"/>
      <c r="D4" s="52"/>
      <c r="E4" s="52"/>
      <c r="F4" s="53"/>
      <c r="G4" s="430"/>
      <c r="H4" s="431"/>
    </row>
    <row r="5" spans="1:8" x14ac:dyDescent="0.25">
      <c r="A5" s="430"/>
      <c r="B5" s="431"/>
      <c r="C5" s="437" t="s">
        <v>161</v>
      </c>
      <c r="D5" s="438"/>
      <c r="E5" s="438"/>
      <c r="F5" s="439"/>
      <c r="G5" s="430"/>
      <c r="H5" s="431"/>
    </row>
    <row r="6" spans="1:8" x14ac:dyDescent="0.25">
      <c r="A6" s="430"/>
      <c r="B6" s="431"/>
      <c r="C6" s="437" t="s">
        <v>162</v>
      </c>
      <c r="D6" s="438"/>
      <c r="E6" s="438"/>
      <c r="F6" s="439"/>
      <c r="G6" s="430"/>
      <c r="H6" s="431"/>
    </row>
    <row r="7" spans="1:8" ht="15.75" thickBot="1" x14ac:dyDescent="0.3">
      <c r="A7" s="432"/>
      <c r="B7" s="433"/>
      <c r="C7" s="54"/>
      <c r="D7" s="55"/>
      <c r="E7" s="55"/>
      <c r="F7" s="56"/>
      <c r="G7" s="432"/>
      <c r="H7" s="433"/>
    </row>
    <row r="9" spans="1:8" ht="15.75" thickBot="1" x14ac:dyDescent="0.3">
      <c r="A9" s="404" t="s">
        <v>163</v>
      </c>
      <c r="B9" s="404"/>
      <c r="C9" s="404"/>
      <c r="D9" s="404"/>
      <c r="E9" s="404"/>
      <c r="F9" s="404"/>
      <c r="G9" s="404"/>
      <c r="H9" s="404"/>
    </row>
    <row r="10" spans="1:8" ht="15.75" thickBot="1" x14ac:dyDescent="0.3">
      <c r="A10" s="104"/>
      <c r="B10" s="104"/>
      <c r="C10" s="104"/>
      <c r="D10" s="104"/>
      <c r="E10" s="104"/>
      <c r="F10" s="104"/>
      <c r="G10" s="405" t="s">
        <v>259</v>
      </c>
      <c r="H10" s="406"/>
    </row>
    <row r="11" spans="1:8" ht="15.75" thickBot="1" x14ac:dyDescent="0.3"/>
    <row r="12" spans="1:8" ht="64.5" customHeight="1" x14ac:dyDescent="0.25">
      <c r="A12" s="407" t="s">
        <v>428</v>
      </c>
      <c r="B12" s="408"/>
      <c r="C12" s="408"/>
      <c r="D12" s="408"/>
      <c r="E12" s="408"/>
      <c r="F12" s="408"/>
      <c r="G12" s="408"/>
      <c r="H12" s="409"/>
    </row>
    <row r="13" spans="1:8" x14ac:dyDescent="0.25">
      <c r="A13" s="410"/>
      <c r="B13" s="411"/>
      <c r="C13" s="411"/>
      <c r="D13" s="411"/>
      <c r="E13" s="411"/>
      <c r="F13" s="411"/>
      <c r="G13" s="411"/>
      <c r="H13" s="412"/>
    </row>
    <row r="14" spans="1:8" ht="15.75" thickBot="1" x14ac:dyDescent="0.3">
      <c r="A14" s="413"/>
      <c r="B14" s="414"/>
      <c r="C14" s="414"/>
      <c r="D14" s="414"/>
      <c r="E14" s="414"/>
      <c r="F14" s="414"/>
      <c r="G14" s="414"/>
      <c r="H14" s="415"/>
    </row>
    <row r="15" spans="1:8" ht="15.75" thickBot="1" x14ac:dyDescent="0.3">
      <c r="A15" s="58"/>
    </row>
    <row r="16" spans="1:8" x14ac:dyDescent="0.25">
      <c r="A16" s="424" t="s">
        <v>410</v>
      </c>
      <c r="B16" s="418" t="s">
        <v>245</v>
      </c>
      <c r="C16" s="419"/>
      <c r="D16" s="419"/>
      <c r="E16" s="419"/>
      <c r="F16" s="420"/>
      <c r="G16" s="424" t="s">
        <v>166</v>
      </c>
      <c r="H16" s="426" t="s">
        <v>167</v>
      </c>
    </row>
    <row r="17" spans="1:8" x14ac:dyDescent="0.25">
      <c r="A17" s="694"/>
      <c r="B17" s="696"/>
      <c r="C17" s="697"/>
      <c r="D17" s="697"/>
      <c r="E17" s="697"/>
      <c r="F17" s="698"/>
      <c r="G17" s="694"/>
      <c r="H17" s="702"/>
    </row>
    <row r="18" spans="1:8" ht="15.75" thickBot="1" x14ac:dyDescent="0.3">
      <c r="A18" s="695"/>
      <c r="B18" s="699"/>
      <c r="C18" s="700"/>
      <c r="D18" s="700"/>
      <c r="E18" s="700"/>
      <c r="F18" s="701"/>
      <c r="G18" s="695"/>
      <c r="H18" s="703"/>
    </row>
    <row r="19" spans="1:8" x14ac:dyDescent="0.25">
      <c r="A19" s="130" t="s">
        <v>168</v>
      </c>
      <c r="B19" s="131"/>
      <c r="C19" s="131"/>
      <c r="D19" s="131"/>
      <c r="E19" s="131"/>
      <c r="F19" s="131"/>
      <c r="G19" s="131"/>
      <c r="H19" s="131"/>
    </row>
    <row r="20" spans="1:8" x14ac:dyDescent="0.25">
      <c r="A20" s="384" t="s">
        <v>1</v>
      </c>
      <c r="B20" s="384"/>
      <c r="C20" s="384" t="s">
        <v>169</v>
      </c>
      <c r="D20" s="384"/>
      <c r="E20" s="384" t="s">
        <v>170</v>
      </c>
      <c r="F20" s="384"/>
      <c r="G20" s="384" t="s">
        <v>171</v>
      </c>
      <c r="H20" s="384"/>
    </row>
    <row r="21" spans="1:8" x14ac:dyDescent="0.25">
      <c r="A21" s="446"/>
      <c r="B21" s="447"/>
      <c r="C21" s="441"/>
      <c r="D21" s="441"/>
      <c r="E21" s="542"/>
      <c r="F21" s="542"/>
      <c r="G21" s="380"/>
      <c r="H21" s="380"/>
    </row>
    <row r="22" spans="1:8" x14ac:dyDescent="0.25">
      <c r="A22" s="397"/>
      <c r="B22" s="398"/>
      <c r="C22" s="388"/>
      <c r="D22" s="388"/>
      <c r="E22" s="399"/>
      <c r="F22" s="399"/>
      <c r="G22" s="380"/>
      <c r="H22" s="380"/>
    </row>
    <row r="23" spans="1:8" x14ac:dyDescent="0.25">
      <c r="A23" s="539" t="s">
        <v>173</v>
      </c>
      <c r="B23" s="540"/>
      <c r="C23" s="380"/>
      <c r="D23" s="380"/>
      <c r="E23" s="541">
        <v>0.1</v>
      </c>
      <c r="F23" s="541"/>
      <c r="G23" s="380">
        <f>+E23*G45</f>
        <v>343.57142857142861</v>
      </c>
      <c r="H23" s="380"/>
    </row>
    <row r="24" spans="1:8" x14ac:dyDescent="0.25">
      <c r="A24" s="131"/>
      <c r="B24" s="131"/>
      <c r="C24" s="384" t="s">
        <v>174</v>
      </c>
      <c r="D24" s="384"/>
      <c r="E24" s="384"/>
      <c r="F24" s="384"/>
      <c r="G24" s="380">
        <f>SUM(G21:H23)</f>
        <v>343.57142857142861</v>
      </c>
      <c r="H24" s="380"/>
    </row>
    <row r="25" spans="1:8" x14ac:dyDescent="0.25">
      <c r="A25" s="131"/>
      <c r="B25" s="131"/>
      <c r="C25" s="132"/>
      <c r="D25" s="132"/>
      <c r="E25" s="132"/>
      <c r="F25" s="132"/>
      <c r="G25" s="112"/>
      <c r="H25" s="112"/>
    </row>
    <row r="26" spans="1:8" x14ac:dyDescent="0.25">
      <c r="A26" s="59" t="s">
        <v>175</v>
      </c>
      <c r="B26" s="131"/>
      <c r="C26" s="131"/>
      <c r="D26" s="131"/>
      <c r="E26" s="131"/>
      <c r="F26" s="131"/>
      <c r="G26" s="131"/>
      <c r="H26" s="131"/>
    </row>
    <row r="27" spans="1:8" x14ac:dyDescent="0.25">
      <c r="A27" s="384" t="s">
        <v>1</v>
      </c>
      <c r="B27" s="384"/>
      <c r="C27" s="64" t="s">
        <v>176</v>
      </c>
      <c r="D27" s="64" t="s">
        <v>177</v>
      </c>
      <c r="E27" s="384" t="s">
        <v>3</v>
      </c>
      <c r="F27" s="384"/>
      <c r="G27" s="384" t="s">
        <v>171</v>
      </c>
      <c r="H27" s="384"/>
    </row>
    <row r="28" spans="1:8" x14ac:dyDescent="0.25">
      <c r="A28" s="379" t="s">
        <v>246</v>
      </c>
      <c r="B28" s="379"/>
      <c r="C28" s="107" t="s">
        <v>167</v>
      </c>
      <c r="D28" s="147">
        <v>4800</v>
      </c>
      <c r="E28" s="389">
        <v>1.1000000000000001</v>
      </c>
      <c r="F28" s="390"/>
      <c r="G28" s="391">
        <f>+D28*E28</f>
        <v>5280</v>
      </c>
      <c r="H28" s="392"/>
    </row>
    <row r="29" spans="1:8" x14ac:dyDescent="0.25">
      <c r="A29" s="379" t="s">
        <v>247</v>
      </c>
      <c r="B29" s="379"/>
      <c r="C29" s="107" t="s">
        <v>248</v>
      </c>
      <c r="D29" s="147">
        <v>2480</v>
      </c>
      <c r="E29" s="708">
        <v>0.02</v>
      </c>
      <c r="F29" s="709"/>
      <c r="G29" s="391">
        <f>+D29*E29</f>
        <v>49.6</v>
      </c>
      <c r="H29" s="392"/>
    </row>
    <row r="30" spans="1:8" x14ac:dyDescent="0.25">
      <c r="A30" s="385"/>
      <c r="B30" s="401"/>
      <c r="C30" s="107"/>
      <c r="D30" s="71"/>
      <c r="E30" s="708"/>
      <c r="F30" s="709"/>
      <c r="G30" s="391"/>
      <c r="H30" s="392"/>
    </row>
    <row r="31" spans="1:8" x14ac:dyDescent="0.25">
      <c r="A31" s="379"/>
      <c r="B31" s="379"/>
      <c r="C31" s="65"/>
      <c r="D31" s="71"/>
      <c r="E31" s="389"/>
      <c r="F31" s="390"/>
      <c r="G31" s="391"/>
      <c r="H31" s="392"/>
    </row>
    <row r="32" spans="1:8" x14ac:dyDescent="0.25">
      <c r="A32" s="146"/>
      <c r="B32" s="146"/>
      <c r="C32" s="384" t="s">
        <v>174</v>
      </c>
      <c r="D32" s="384"/>
      <c r="E32" s="384"/>
      <c r="F32" s="384"/>
      <c r="G32" s="380">
        <f>SUM(G28:H31)</f>
        <v>5329.6</v>
      </c>
      <c r="H32" s="380"/>
    </row>
    <row r="33" spans="1:8" x14ac:dyDescent="0.25">
      <c r="A33" s="131"/>
      <c r="B33" s="131"/>
      <c r="C33" s="131"/>
      <c r="D33" s="131"/>
      <c r="E33" s="131"/>
      <c r="F33" s="131"/>
      <c r="G33" s="131"/>
      <c r="H33" s="131"/>
    </row>
    <row r="34" spans="1:8" x14ac:dyDescent="0.25">
      <c r="A34" s="59" t="s">
        <v>181</v>
      </c>
      <c r="B34" s="131"/>
      <c r="C34" s="131"/>
      <c r="D34" s="131"/>
      <c r="E34" s="131"/>
      <c r="F34" s="131"/>
      <c r="G34" s="131"/>
      <c r="H34" s="131"/>
    </row>
    <row r="35" spans="1:8" x14ac:dyDescent="0.25">
      <c r="A35" s="384" t="s">
        <v>182</v>
      </c>
      <c r="B35" s="384"/>
      <c r="C35" s="64" t="s">
        <v>183</v>
      </c>
      <c r="D35" s="72" t="s">
        <v>184</v>
      </c>
      <c r="E35" s="384" t="s">
        <v>185</v>
      </c>
      <c r="F35" s="384"/>
      <c r="G35" s="384" t="s">
        <v>171</v>
      </c>
      <c r="H35" s="384"/>
    </row>
    <row r="36" spans="1:8" x14ac:dyDescent="0.25">
      <c r="A36" s="379"/>
      <c r="B36" s="379"/>
      <c r="C36" s="107"/>
      <c r="D36" s="107"/>
      <c r="E36" s="380"/>
      <c r="F36" s="380"/>
      <c r="G36" s="380"/>
      <c r="H36" s="380"/>
    </row>
    <row r="37" spans="1:8" x14ac:dyDescent="0.25">
      <c r="A37" s="379"/>
      <c r="B37" s="379"/>
      <c r="C37" s="107"/>
      <c r="D37" s="107"/>
      <c r="E37" s="380"/>
      <c r="F37" s="380"/>
      <c r="G37" s="380"/>
      <c r="H37" s="380"/>
    </row>
    <row r="38" spans="1:8" x14ac:dyDescent="0.25">
      <c r="A38" s="146"/>
      <c r="B38" s="146"/>
      <c r="C38" s="384" t="s">
        <v>174</v>
      </c>
      <c r="D38" s="384"/>
      <c r="E38" s="384"/>
      <c r="F38" s="384"/>
      <c r="G38" s="380">
        <f>SUM(G36:G37)</f>
        <v>0</v>
      </c>
      <c r="H38" s="380"/>
    </row>
    <row r="39" spans="1:8" x14ac:dyDescent="0.25">
      <c r="A39" s="131"/>
      <c r="B39" s="131"/>
      <c r="C39" s="131"/>
      <c r="D39" s="131"/>
      <c r="E39" s="131"/>
      <c r="F39" s="131"/>
      <c r="G39" s="131"/>
      <c r="H39" s="131"/>
    </row>
    <row r="40" spans="1:8" x14ac:dyDescent="0.25">
      <c r="A40" s="59" t="s">
        <v>186</v>
      </c>
      <c r="B40" s="131"/>
      <c r="C40" s="131"/>
      <c r="D40" s="131"/>
      <c r="E40" s="131"/>
      <c r="F40" s="131"/>
      <c r="G40" s="131"/>
      <c r="H40" s="131"/>
    </row>
    <row r="41" spans="1:8" x14ac:dyDescent="0.25">
      <c r="A41" s="384" t="s">
        <v>187</v>
      </c>
      <c r="B41" s="384"/>
      <c r="C41" s="109" t="s">
        <v>188</v>
      </c>
      <c r="D41" s="72" t="s">
        <v>189</v>
      </c>
      <c r="E41" s="64" t="s">
        <v>190</v>
      </c>
      <c r="F41" s="72" t="s">
        <v>170</v>
      </c>
      <c r="G41" s="384" t="s">
        <v>171</v>
      </c>
      <c r="H41" s="384"/>
    </row>
    <row r="42" spans="1:8" x14ac:dyDescent="0.25">
      <c r="A42" s="539" t="s">
        <v>201</v>
      </c>
      <c r="B42" s="540"/>
      <c r="C42" s="71">
        <v>60000</v>
      </c>
      <c r="D42" s="115">
        <v>0.85</v>
      </c>
      <c r="E42" s="71">
        <f>+C42*(1+D42)</f>
        <v>111000</v>
      </c>
      <c r="F42" s="107">
        <v>70</v>
      </c>
      <c r="G42" s="380">
        <f>+E42/F42</f>
        <v>1585.7142857142858</v>
      </c>
      <c r="H42" s="380"/>
    </row>
    <row r="43" spans="1:8" x14ac:dyDescent="0.25">
      <c r="A43" s="379" t="s">
        <v>220</v>
      </c>
      <c r="B43" s="379"/>
      <c r="C43" s="71">
        <v>70000</v>
      </c>
      <c r="D43" s="115">
        <v>0.85</v>
      </c>
      <c r="E43" s="71">
        <f>+C43*(1+D43)</f>
        <v>129500</v>
      </c>
      <c r="F43" s="107">
        <v>70</v>
      </c>
      <c r="G43" s="380">
        <f>+E43/F43</f>
        <v>1850</v>
      </c>
      <c r="H43" s="380"/>
    </row>
    <row r="44" spans="1:8" x14ac:dyDescent="0.25">
      <c r="A44" s="542"/>
      <c r="B44" s="542"/>
      <c r="C44" s="71"/>
      <c r="D44" s="107"/>
      <c r="E44" s="71"/>
      <c r="F44" s="107"/>
      <c r="G44" s="380"/>
      <c r="H44" s="380"/>
    </row>
    <row r="45" spans="1:8" x14ac:dyDescent="0.25">
      <c r="A45" s="146"/>
      <c r="B45" s="146"/>
      <c r="C45" s="384" t="s">
        <v>174</v>
      </c>
      <c r="D45" s="384"/>
      <c r="E45" s="384"/>
      <c r="F45" s="384"/>
      <c r="G45" s="380">
        <f>+G42+G43+G44</f>
        <v>3435.7142857142858</v>
      </c>
      <c r="H45" s="380"/>
    </row>
    <row r="46" spans="1:8" x14ac:dyDescent="0.25">
      <c r="A46" s="131"/>
      <c r="B46" s="131"/>
      <c r="C46" s="131"/>
      <c r="D46" s="131"/>
      <c r="E46" s="131"/>
      <c r="F46" s="131"/>
      <c r="G46" s="131"/>
      <c r="H46" s="131"/>
    </row>
    <row r="47" spans="1:8" x14ac:dyDescent="0.25">
      <c r="A47" s="131"/>
      <c r="B47" s="131"/>
      <c r="C47" s="131"/>
      <c r="D47" s="131"/>
      <c r="E47" s="131"/>
      <c r="F47" s="131"/>
      <c r="G47" s="131"/>
      <c r="H47" s="131"/>
    </row>
    <row r="48" spans="1:8" x14ac:dyDescent="0.25">
      <c r="A48" s="710" t="s">
        <v>193</v>
      </c>
      <c r="B48" s="710"/>
      <c r="C48" s="710"/>
      <c r="D48" s="710"/>
      <c r="E48" s="710"/>
      <c r="F48" s="710"/>
      <c r="G48" s="538">
        <f>+ROUND(G24+G32+G38+G45,0)</f>
        <v>9109</v>
      </c>
      <c r="H48" s="538"/>
    </row>
    <row r="49" spans="7:7" x14ac:dyDescent="0.25">
      <c r="G49" s="309">
        <f>+G48</f>
        <v>9109</v>
      </c>
    </row>
  </sheetData>
  <mergeCells count="71">
    <mergeCell ref="A48:F48"/>
    <mergeCell ref="G48:H48"/>
    <mergeCell ref="A43:B43"/>
    <mergeCell ref="G43:H43"/>
    <mergeCell ref="A44:B44"/>
    <mergeCell ref="G44:H44"/>
    <mergeCell ref="C45:F45"/>
    <mergeCell ref="G45:H45"/>
    <mergeCell ref="C38:F38"/>
    <mergeCell ref="G38:H38"/>
    <mergeCell ref="A41:B41"/>
    <mergeCell ref="G41:H41"/>
    <mergeCell ref="A42:B42"/>
    <mergeCell ref="G42:H42"/>
    <mergeCell ref="A36:B36"/>
    <mergeCell ref="E36:F36"/>
    <mergeCell ref="G36:H36"/>
    <mergeCell ref="A37:B37"/>
    <mergeCell ref="E37:F37"/>
    <mergeCell ref="G37:H37"/>
    <mergeCell ref="A35:B35"/>
    <mergeCell ref="E35:F35"/>
    <mergeCell ref="G35:H35"/>
    <mergeCell ref="A29:B29"/>
    <mergeCell ref="E29:F29"/>
    <mergeCell ref="G29:H29"/>
    <mergeCell ref="A30:B30"/>
    <mergeCell ref="E30:F30"/>
    <mergeCell ref="G30:H30"/>
    <mergeCell ref="A31:B31"/>
    <mergeCell ref="E31:F31"/>
    <mergeCell ref="G31:H31"/>
    <mergeCell ref="C32:F32"/>
    <mergeCell ref="G32:H32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20:B20"/>
    <mergeCell ref="C20:D20"/>
    <mergeCell ref="E20:F20"/>
    <mergeCell ref="G20:H20"/>
    <mergeCell ref="A21:B21"/>
    <mergeCell ref="C21:D21"/>
    <mergeCell ref="E21:F21"/>
    <mergeCell ref="G21:H21"/>
    <mergeCell ref="A9:H9"/>
    <mergeCell ref="G10:H10"/>
    <mergeCell ref="A12:H14"/>
    <mergeCell ref="A16:A18"/>
    <mergeCell ref="B16:F18"/>
    <mergeCell ref="G16:G18"/>
    <mergeCell ref="H16:H18"/>
    <mergeCell ref="A2:B7"/>
    <mergeCell ref="C2:F2"/>
    <mergeCell ref="G2:H7"/>
    <mergeCell ref="C3:F3"/>
    <mergeCell ref="C5:F5"/>
    <mergeCell ref="C6:F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49"/>
  <sheetViews>
    <sheetView workbookViewId="0">
      <selection activeCell="G48" sqref="G48:H48"/>
    </sheetView>
  </sheetViews>
  <sheetFormatPr baseColWidth="10" defaultRowHeight="15" x14ac:dyDescent="0.25"/>
  <cols>
    <col min="1" max="1" width="12.28515625" customWidth="1"/>
    <col min="2" max="2" width="13.7109375" customWidth="1"/>
    <col min="4" max="4" width="12.5703125" customWidth="1"/>
    <col min="7" max="8" width="9.28515625" customWidth="1"/>
    <col min="11" max="11" width="11.5703125" style="148" bestFit="1" customWidth="1"/>
    <col min="12" max="12" width="13.85546875" style="148" bestFit="1" customWidth="1"/>
    <col min="13" max="13" width="15.42578125" style="148" bestFit="1" customWidth="1"/>
    <col min="14" max="16" width="11.42578125" style="148"/>
    <col min="257" max="257" width="12.28515625" customWidth="1"/>
    <col min="258" max="258" width="13.7109375" customWidth="1"/>
    <col min="260" max="260" width="12.5703125" customWidth="1"/>
    <col min="263" max="264" width="9.28515625" customWidth="1"/>
    <col min="267" max="267" width="11.5703125" bestFit="1" customWidth="1"/>
    <col min="268" max="268" width="13.85546875" bestFit="1" customWidth="1"/>
    <col min="269" max="269" width="15.42578125" bestFit="1" customWidth="1"/>
    <col min="513" max="513" width="12.28515625" customWidth="1"/>
    <col min="514" max="514" width="13.7109375" customWidth="1"/>
    <col min="516" max="516" width="12.5703125" customWidth="1"/>
    <col min="519" max="520" width="9.28515625" customWidth="1"/>
    <col min="523" max="523" width="11.5703125" bestFit="1" customWidth="1"/>
    <col min="524" max="524" width="13.85546875" bestFit="1" customWidth="1"/>
    <col min="525" max="525" width="15.42578125" bestFit="1" customWidth="1"/>
    <col min="769" max="769" width="12.28515625" customWidth="1"/>
    <col min="770" max="770" width="13.7109375" customWidth="1"/>
    <col min="772" max="772" width="12.5703125" customWidth="1"/>
    <col min="775" max="776" width="9.28515625" customWidth="1"/>
    <col min="779" max="779" width="11.5703125" bestFit="1" customWidth="1"/>
    <col min="780" max="780" width="13.85546875" bestFit="1" customWidth="1"/>
    <col min="781" max="781" width="15.42578125" bestFit="1" customWidth="1"/>
    <col min="1025" max="1025" width="12.28515625" customWidth="1"/>
    <col min="1026" max="1026" width="13.7109375" customWidth="1"/>
    <col min="1028" max="1028" width="12.5703125" customWidth="1"/>
    <col min="1031" max="1032" width="9.28515625" customWidth="1"/>
    <col min="1035" max="1035" width="11.5703125" bestFit="1" customWidth="1"/>
    <col min="1036" max="1036" width="13.85546875" bestFit="1" customWidth="1"/>
    <col min="1037" max="1037" width="15.42578125" bestFit="1" customWidth="1"/>
    <col min="1281" max="1281" width="12.28515625" customWidth="1"/>
    <col min="1282" max="1282" width="13.7109375" customWidth="1"/>
    <col min="1284" max="1284" width="12.5703125" customWidth="1"/>
    <col min="1287" max="1288" width="9.28515625" customWidth="1"/>
    <col min="1291" max="1291" width="11.5703125" bestFit="1" customWidth="1"/>
    <col min="1292" max="1292" width="13.85546875" bestFit="1" customWidth="1"/>
    <col min="1293" max="1293" width="15.42578125" bestFit="1" customWidth="1"/>
    <col min="1537" max="1537" width="12.28515625" customWidth="1"/>
    <col min="1538" max="1538" width="13.7109375" customWidth="1"/>
    <col min="1540" max="1540" width="12.5703125" customWidth="1"/>
    <col min="1543" max="1544" width="9.28515625" customWidth="1"/>
    <col min="1547" max="1547" width="11.5703125" bestFit="1" customWidth="1"/>
    <col min="1548" max="1548" width="13.85546875" bestFit="1" customWidth="1"/>
    <col min="1549" max="1549" width="15.42578125" bestFit="1" customWidth="1"/>
    <col min="1793" max="1793" width="12.28515625" customWidth="1"/>
    <col min="1794" max="1794" width="13.7109375" customWidth="1"/>
    <col min="1796" max="1796" width="12.5703125" customWidth="1"/>
    <col min="1799" max="1800" width="9.28515625" customWidth="1"/>
    <col min="1803" max="1803" width="11.5703125" bestFit="1" customWidth="1"/>
    <col min="1804" max="1804" width="13.85546875" bestFit="1" customWidth="1"/>
    <col min="1805" max="1805" width="15.42578125" bestFit="1" customWidth="1"/>
    <col min="2049" max="2049" width="12.28515625" customWidth="1"/>
    <col min="2050" max="2050" width="13.7109375" customWidth="1"/>
    <col min="2052" max="2052" width="12.5703125" customWidth="1"/>
    <col min="2055" max="2056" width="9.28515625" customWidth="1"/>
    <col min="2059" max="2059" width="11.5703125" bestFit="1" customWidth="1"/>
    <col min="2060" max="2060" width="13.85546875" bestFit="1" customWidth="1"/>
    <col min="2061" max="2061" width="15.42578125" bestFit="1" customWidth="1"/>
    <col min="2305" max="2305" width="12.28515625" customWidth="1"/>
    <col min="2306" max="2306" width="13.7109375" customWidth="1"/>
    <col min="2308" max="2308" width="12.5703125" customWidth="1"/>
    <col min="2311" max="2312" width="9.28515625" customWidth="1"/>
    <col min="2315" max="2315" width="11.5703125" bestFit="1" customWidth="1"/>
    <col min="2316" max="2316" width="13.85546875" bestFit="1" customWidth="1"/>
    <col min="2317" max="2317" width="15.42578125" bestFit="1" customWidth="1"/>
    <col min="2561" max="2561" width="12.28515625" customWidth="1"/>
    <col min="2562" max="2562" width="13.7109375" customWidth="1"/>
    <col min="2564" max="2564" width="12.5703125" customWidth="1"/>
    <col min="2567" max="2568" width="9.28515625" customWidth="1"/>
    <col min="2571" max="2571" width="11.5703125" bestFit="1" customWidth="1"/>
    <col min="2572" max="2572" width="13.85546875" bestFit="1" customWidth="1"/>
    <col min="2573" max="2573" width="15.42578125" bestFit="1" customWidth="1"/>
    <col min="2817" max="2817" width="12.28515625" customWidth="1"/>
    <col min="2818" max="2818" width="13.7109375" customWidth="1"/>
    <col min="2820" max="2820" width="12.5703125" customWidth="1"/>
    <col min="2823" max="2824" width="9.28515625" customWidth="1"/>
    <col min="2827" max="2827" width="11.5703125" bestFit="1" customWidth="1"/>
    <col min="2828" max="2828" width="13.85546875" bestFit="1" customWidth="1"/>
    <col min="2829" max="2829" width="15.42578125" bestFit="1" customWidth="1"/>
    <col min="3073" max="3073" width="12.28515625" customWidth="1"/>
    <col min="3074" max="3074" width="13.7109375" customWidth="1"/>
    <col min="3076" max="3076" width="12.5703125" customWidth="1"/>
    <col min="3079" max="3080" width="9.28515625" customWidth="1"/>
    <col min="3083" max="3083" width="11.5703125" bestFit="1" customWidth="1"/>
    <col min="3084" max="3084" width="13.85546875" bestFit="1" customWidth="1"/>
    <col min="3085" max="3085" width="15.42578125" bestFit="1" customWidth="1"/>
    <col min="3329" max="3329" width="12.28515625" customWidth="1"/>
    <col min="3330" max="3330" width="13.7109375" customWidth="1"/>
    <col min="3332" max="3332" width="12.5703125" customWidth="1"/>
    <col min="3335" max="3336" width="9.28515625" customWidth="1"/>
    <col min="3339" max="3339" width="11.5703125" bestFit="1" customWidth="1"/>
    <col min="3340" max="3340" width="13.85546875" bestFit="1" customWidth="1"/>
    <col min="3341" max="3341" width="15.42578125" bestFit="1" customWidth="1"/>
    <col min="3585" max="3585" width="12.28515625" customWidth="1"/>
    <col min="3586" max="3586" width="13.7109375" customWidth="1"/>
    <col min="3588" max="3588" width="12.5703125" customWidth="1"/>
    <col min="3591" max="3592" width="9.28515625" customWidth="1"/>
    <col min="3595" max="3595" width="11.5703125" bestFit="1" customWidth="1"/>
    <col min="3596" max="3596" width="13.85546875" bestFit="1" customWidth="1"/>
    <col min="3597" max="3597" width="15.42578125" bestFit="1" customWidth="1"/>
    <col min="3841" max="3841" width="12.28515625" customWidth="1"/>
    <col min="3842" max="3842" width="13.7109375" customWidth="1"/>
    <col min="3844" max="3844" width="12.5703125" customWidth="1"/>
    <col min="3847" max="3848" width="9.28515625" customWidth="1"/>
    <col min="3851" max="3851" width="11.5703125" bestFit="1" customWidth="1"/>
    <col min="3852" max="3852" width="13.85546875" bestFit="1" customWidth="1"/>
    <col min="3853" max="3853" width="15.42578125" bestFit="1" customWidth="1"/>
    <col min="4097" max="4097" width="12.28515625" customWidth="1"/>
    <col min="4098" max="4098" width="13.7109375" customWidth="1"/>
    <col min="4100" max="4100" width="12.5703125" customWidth="1"/>
    <col min="4103" max="4104" width="9.28515625" customWidth="1"/>
    <col min="4107" max="4107" width="11.5703125" bestFit="1" customWidth="1"/>
    <col min="4108" max="4108" width="13.85546875" bestFit="1" customWidth="1"/>
    <col min="4109" max="4109" width="15.42578125" bestFit="1" customWidth="1"/>
    <col min="4353" max="4353" width="12.28515625" customWidth="1"/>
    <col min="4354" max="4354" width="13.7109375" customWidth="1"/>
    <col min="4356" max="4356" width="12.5703125" customWidth="1"/>
    <col min="4359" max="4360" width="9.28515625" customWidth="1"/>
    <col min="4363" max="4363" width="11.5703125" bestFit="1" customWidth="1"/>
    <col min="4364" max="4364" width="13.85546875" bestFit="1" customWidth="1"/>
    <col min="4365" max="4365" width="15.42578125" bestFit="1" customWidth="1"/>
    <col min="4609" max="4609" width="12.28515625" customWidth="1"/>
    <col min="4610" max="4610" width="13.7109375" customWidth="1"/>
    <col min="4612" max="4612" width="12.5703125" customWidth="1"/>
    <col min="4615" max="4616" width="9.28515625" customWidth="1"/>
    <col min="4619" max="4619" width="11.5703125" bestFit="1" customWidth="1"/>
    <col min="4620" max="4620" width="13.85546875" bestFit="1" customWidth="1"/>
    <col min="4621" max="4621" width="15.42578125" bestFit="1" customWidth="1"/>
    <col min="4865" max="4865" width="12.28515625" customWidth="1"/>
    <col min="4866" max="4866" width="13.7109375" customWidth="1"/>
    <col min="4868" max="4868" width="12.5703125" customWidth="1"/>
    <col min="4871" max="4872" width="9.28515625" customWidth="1"/>
    <col min="4875" max="4875" width="11.5703125" bestFit="1" customWidth="1"/>
    <col min="4876" max="4876" width="13.85546875" bestFit="1" customWidth="1"/>
    <col min="4877" max="4877" width="15.42578125" bestFit="1" customWidth="1"/>
    <col min="5121" max="5121" width="12.28515625" customWidth="1"/>
    <col min="5122" max="5122" width="13.7109375" customWidth="1"/>
    <col min="5124" max="5124" width="12.5703125" customWidth="1"/>
    <col min="5127" max="5128" width="9.28515625" customWidth="1"/>
    <col min="5131" max="5131" width="11.5703125" bestFit="1" customWidth="1"/>
    <col min="5132" max="5132" width="13.85546875" bestFit="1" customWidth="1"/>
    <col min="5133" max="5133" width="15.42578125" bestFit="1" customWidth="1"/>
    <col min="5377" max="5377" width="12.28515625" customWidth="1"/>
    <col min="5378" max="5378" width="13.7109375" customWidth="1"/>
    <col min="5380" max="5380" width="12.5703125" customWidth="1"/>
    <col min="5383" max="5384" width="9.28515625" customWidth="1"/>
    <col min="5387" max="5387" width="11.5703125" bestFit="1" customWidth="1"/>
    <col min="5388" max="5388" width="13.85546875" bestFit="1" customWidth="1"/>
    <col min="5389" max="5389" width="15.42578125" bestFit="1" customWidth="1"/>
    <col min="5633" max="5633" width="12.28515625" customWidth="1"/>
    <col min="5634" max="5634" width="13.7109375" customWidth="1"/>
    <col min="5636" max="5636" width="12.5703125" customWidth="1"/>
    <col min="5639" max="5640" width="9.28515625" customWidth="1"/>
    <col min="5643" max="5643" width="11.5703125" bestFit="1" customWidth="1"/>
    <col min="5644" max="5644" width="13.85546875" bestFit="1" customWidth="1"/>
    <col min="5645" max="5645" width="15.42578125" bestFit="1" customWidth="1"/>
    <col min="5889" max="5889" width="12.28515625" customWidth="1"/>
    <col min="5890" max="5890" width="13.7109375" customWidth="1"/>
    <col min="5892" max="5892" width="12.5703125" customWidth="1"/>
    <col min="5895" max="5896" width="9.28515625" customWidth="1"/>
    <col min="5899" max="5899" width="11.5703125" bestFit="1" customWidth="1"/>
    <col min="5900" max="5900" width="13.85546875" bestFit="1" customWidth="1"/>
    <col min="5901" max="5901" width="15.42578125" bestFit="1" customWidth="1"/>
    <col min="6145" max="6145" width="12.28515625" customWidth="1"/>
    <col min="6146" max="6146" width="13.7109375" customWidth="1"/>
    <col min="6148" max="6148" width="12.5703125" customWidth="1"/>
    <col min="6151" max="6152" width="9.28515625" customWidth="1"/>
    <col min="6155" max="6155" width="11.5703125" bestFit="1" customWidth="1"/>
    <col min="6156" max="6156" width="13.85546875" bestFit="1" customWidth="1"/>
    <col min="6157" max="6157" width="15.42578125" bestFit="1" customWidth="1"/>
    <col min="6401" max="6401" width="12.28515625" customWidth="1"/>
    <col min="6402" max="6402" width="13.7109375" customWidth="1"/>
    <col min="6404" max="6404" width="12.5703125" customWidth="1"/>
    <col min="6407" max="6408" width="9.28515625" customWidth="1"/>
    <col min="6411" max="6411" width="11.5703125" bestFit="1" customWidth="1"/>
    <col min="6412" max="6412" width="13.85546875" bestFit="1" customWidth="1"/>
    <col min="6413" max="6413" width="15.42578125" bestFit="1" customWidth="1"/>
    <col min="6657" max="6657" width="12.28515625" customWidth="1"/>
    <col min="6658" max="6658" width="13.7109375" customWidth="1"/>
    <col min="6660" max="6660" width="12.5703125" customWidth="1"/>
    <col min="6663" max="6664" width="9.28515625" customWidth="1"/>
    <col min="6667" max="6667" width="11.5703125" bestFit="1" customWidth="1"/>
    <col min="6668" max="6668" width="13.85546875" bestFit="1" customWidth="1"/>
    <col min="6669" max="6669" width="15.42578125" bestFit="1" customWidth="1"/>
    <col min="6913" max="6913" width="12.28515625" customWidth="1"/>
    <col min="6914" max="6914" width="13.7109375" customWidth="1"/>
    <col min="6916" max="6916" width="12.5703125" customWidth="1"/>
    <col min="6919" max="6920" width="9.28515625" customWidth="1"/>
    <col min="6923" max="6923" width="11.5703125" bestFit="1" customWidth="1"/>
    <col min="6924" max="6924" width="13.85546875" bestFit="1" customWidth="1"/>
    <col min="6925" max="6925" width="15.42578125" bestFit="1" customWidth="1"/>
    <col min="7169" max="7169" width="12.28515625" customWidth="1"/>
    <col min="7170" max="7170" width="13.7109375" customWidth="1"/>
    <col min="7172" max="7172" width="12.5703125" customWidth="1"/>
    <col min="7175" max="7176" width="9.28515625" customWidth="1"/>
    <col min="7179" max="7179" width="11.5703125" bestFit="1" customWidth="1"/>
    <col min="7180" max="7180" width="13.85546875" bestFit="1" customWidth="1"/>
    <col min="7181" max="7181" width="15.42578125" bestFit="1" customWidth="1"/>
    <col min="7425" max="7425" width="12.28515625" customWidth="1"/>
    <col min="7426" max="7426" width="13.7109375" customWidth="1"/>
    <col min="7428" max="7428" width="12.5703125" customWidth="1"/>
    <col min="7431" max="7432" width="9.28515625" customWidth="1"/>
    <col min="7435" max="7435" width="11.5703125" bestFit="1" customWidth="1"/>
    <col min="7436" max="7436" width="13.85546875" bestFit="1" customWidth="1"/>
    <col min="7437" max="7437" width="15.42578125" bestFit="1" customWidth="1"/>
    <col min="7681" max="7681" width="12.28515625" customWidth="1"/>
    <col min="7682" max="7682" width="13.7109375" customWidth="1"/>
    <col min="7684" max="7684" width="12.5703125" customWidth="1"/>
    <col min="7687" max="7688" width="9.28515625" customWidth="1"/>
    <col min="7691" max="7691" width="11.5703125" bestFit="1" customWidth="1"/>
    <col min="7692" max="7692" width="13.85546875" bestFit="1" customWidth="1"/>
    <col min="7693" max="7693" width="15.42578125" bestFit="1" customWidth="1"/>
    <col min="7937" max="7937" width="12.28515625" customWidth="1"/>
    <col min="7938" max="7938" width="13.7109375" customWidth="1"/>
    <col min="7940" max="7940" width="12.5703125" customWidth="1"/>
    <col min="7943" max="7944" width="9.28515625" customWidth="1"/>
    <col min="7947" max="7947" width="11.5703125" bestFit="1" customWidth="1"/>
    <col min="7948" max="7948" width="13.85546875" bestFit="1" customWidth="1"/>
    <col min="7949" max="7949" width="15.42578125" bestFit="1" customWidth="1"/>
    <col min="8193" max="8193" width="12.28515625" customWidth="1"/>
    <col min="8194" max="8194" width="13.7109375" customWidth="1"/>
    <col min="8196" max="8196" width="12.5703125" customWidth="1"/>
    <col min="8199" max="8200" width="9.28515625" customWidth="1"/>
    <col min="8203" max="8203" width="11.5703125" bestFit="1" customWidth="1"/>
    <col min="8204" max="8204" width="13.85546875" bestFit="1" customWidth="1"/>
    <col min="8205" max="8205" width="15.42578125" bestFit="1" customWidth="1"/>
    <col min="8449" max="8449" width="12.28515625" customWidth="1"/>
    <col min="8450" max="8450" width="13.7109375" customWidth="1"/>
    <col min="8452" max="8452" width="12.5703125" customWidth="1"/>
    <col min="8455" max="8456" width="9.28515625" customWidth="1"/>
    <col min="8459" max="8459" width="11.5703125" bestFit="1" customWidth="1"/>
    <col min="8460" max="8460" width="13.85546875" bestFit="1" customWidth="1"/>
    <col min="8461" max="8461" width="15.42578125" bestFit="1" customWidth="1"/>
    <col min="8705" max="8705" width="12.28515625" customWidth="1"/>
    <col min="8706" max="8706" width="13.7109375" customWidth="1"/>
    <col min="8708" max="8708" width="12.5703125" customWidth="1"/>
    <col min="8711" max="8712" width="9.28515625" customWidth="1"/>
    <col min="8715" max="8715" width="11.5703125" bestFit="1" customWidth="1"/>
    <col min="8716" max="8716" width="13.85546875" bestFit="1" customWidth="1"/>
    <col min="8717" max="8717" width="15.42578125" bestFit="1" customWidth="1"/>
    <col min="8961" max="8961" width="12.28515625" customWidth="1"/>
    <col min="8962" max="8962" width="13.7109375" customWidth="1"/>
    <col min="8964" max="8964" width="12.5703125" customWidth="1"/>
    <col min="8967" max="8968" width="9.28515625" customWidth="1"/>
    <col min="8971" max="8971" width="11.5703125" bestFit="1" customWidth="1"/>
    <col min="8972" max="8972" width="13.85546875" bestFit="1" customWidth="1"/>
    <col min="8973" max="8973" width="15.42578125" bestFit="1" customWidth="1"/>
    <col min="9217" max="9217" width="12.28515625" customWidth="1"/>
    <col min="9218" max="9218" width="13.7109375" customWidth="1"/>
    <col min="9220" max="9220" width="12.5703125" customWidth="1"/>
    <col min="9223" max="9224" width="9.28515625" customWidth="1"/>
    <col min="9227" max="9227" width="11.5703125" bestFit="1" customWidth="1"/>
    <col min="9228" max="9228" width="13.85546875" bestFit="1" customWidth="1"/>
    <col min="9229" max="9229" width="15.42578125" bestFit="1" customWidth="1"/>
    <col min="9473" max="9473" width="12.28515625" customWidth="1"/>
    <col min="9474" max="9474" width="13.7109375" customWidth="1"/>
    <col min="9476" max="9476" width="12.5703125" customWidth="1"/>
    <col min="9479" max="9480" width="9.28515625" customWidth="1"/>
    <col min="9483" max="9483" width="11.5703125" bestFit="1" customWidth="1"/>
    <col min="9484" max="9484" width="13.85546875" bestFit="1" customWidth="1"/>
    <col min="9485" max="9485" width="15.42578125" bestFit="1" customWidth="1"/>
    <col min="9729" max="9729" width="12.28515625" customWidth="1"/>
    <col min="9730" max="9730" width="13.7109375" customWidth="1"/>
    <col min="9732" max="9732" width="12.5703125" customWidth="1"/>
    <col min="9735" max="9736" width="9.28515625" customWidth="1"/>
    <col min="9739" max="9739" width="11.5703125" bestFit="1" customWidth="1"/>
    <col min="9740" max="9740" width="13.85546875" bestFit="1" customWidth="1"/>
    <col min="9741" max="9741" width="15.42578125" bestFit="1" customWidth="1"/>
    <col min="9985" max="9985" width="12.28515625" customWidth="1"/>
    <col min="9986" max="9986" width="13.7109375" customWidth="1"/>
    <col min="9988" max="9988" width="12.5703125" customWidth="1"/>
    <col min="9991" max="9992" width="9.28515625" customWidth="1"/>
    <col min="9995" max="9995" width="11.5703125" bestFit="1" customWidth="1"/>
    <col min="9996" max="9996" width="13.85546875" bestFit="1" customWidth="1"/>
    <col min="9997" max="9997" width="15.42578125" bestFit="1" customWidth="1"/>
    <col min="10241" max="10241" width="12.28515625" customWidth="1"/>
    <col min="10242" max="10242" width="13.7109375" customWidth="1"/>
    <col min="10244" max="10244" width="12.5703125" customWidth="1"/>
    <col min="10247" max="10248" width="9.28515625" customWidth="1"/>
    <col min="10251" max="10251" width="11.5703125" bestFit="1" customWidth="1"/>
    <col min="10252" max="10252" width="13.85546875" bestFit="1" customWidth="1"/>
    <col min="10253" max="10253" width="15.42578125" bestFit="1" customWidth="1"/>
    <col min="10497" max="10497" width="12.28515625" customWidth="1"/>
    <col min="10498" max="10498" width="13.7109375" customWidth="1"/>
    <col min="10500" max="10500" width="12.5703125" customWidth="1"/>
    <col min="10503" max="10504" width="9.28515625" customWidth="1"/>
    <col min="10507" max="10507" width="11.5703125" bestFit="1" customWidth="1"/>
    <col min="10508" max="10508" width="13.85546875" bestFit="1" customWidth="1"/>
    <col min="10509" max="10509" width="15.42578125" bestFit="1" customWidth="1"/>
    <col min="10753" max="10753" width="12.28515625" customWidth="1"/>
    <col min="10754" max="10754" width="13.7109375" customWidth="1"/>
    <col min="10756" max="10756" width="12.5703125" customWidth="1"/>
    <col min="10759" max="10760" width="9.28515625" customWidth="1"/>
    <col min="10763" max="10763" width="11.5703125" bestFit="1" customWidth="1"/>
    <col min="10764" max="10764" width="13.85546875" bestFit="1" customWidth="1"/>
    <col min="10765" max="10765" width="15.42578125" bestFit="1" customWidth="1"/>
    <col min="11009" max="11009" width="12.28515625" customWidth="1"/>
    <col min="11010" max="11010" width="13.7109375" customWidth="1"/>
    <col min="11012" max="11012" width="12.5703125" customWidth="1"/>
    <col min="11015" max="11016" width="9.28515625" customWidth="1"/>
    <col min="11019" max="11019" width="11.5703125" bestFit="1" customWidth="1"/>
    <col min="11020" max="11020" width="13.85546875" bestFit="1" customWidth="1"/>
    <col min="11021" max="11021" width="15.42578125" bestFit="1" customWidth="1"/>
    <col min="11265" max="11265" width="12.28515625" customWidth="1"/>
    <col min="11266" max="11266" width="13.7109375" customWidth="1"/>
    <col min="11268" max="11268" width="12.5703125" customWidth="1"/>
    <col min="11271" max="11272" width="9.28515625" customWidth="1"/>
    <col min="11275" max="11275" width="11.5703125" bestFit="1" customWidth="1"/>
    <col min="11276" max="11276" width="13.85546875" bestFit="1" customWidth="1"/>
    <col min="11277" max="11277" width="15.42578125" bestFit="1" customWidth="1"/>
    <col min="11521" max="11521" width="12.28515625" customWidth="1"/>
    <col min="11522" max="11522" width="13.7109375" customWidth="1"/>
    <col min="11524" max="11524" width="12.5703125" customWidth="1"/>
    <col min="11527" max="11528" width="9.28515625" customWidth="1"/>
    <col min="11531" max="11531" width="11.5703125" bestFit="1" customWidth="1"/>
    <col min="11532" max="11532" width="13.85546875" bestFit="1" customWidth="1"/>
    <col min="11533" max="11533" width="15.42578125" bestFit="1" customWidth="1"/>
    <col min="11777" max="11777" width="12.28515625" customWidth="1"/>
    <col min="11778" max="11778" width="13.7109375" customWidth="1"/>
    <col min="11780" max="11780" width="12.5703125" customWidth="1"/>
    <col min="11783" max="11784" width="9.28515625" customWidth="1"/>
    <col min="11787" max="11787" width="11.5703125" bestFit="1" customWidth="1"/>
    <col min="11788" max="11788" width="13.85546875" bestFit="1" customWidth="1"/>
    <col min="11789" max="11789" width="15.42578125" bestFit="1" customWidth="1"/>
    <col min="12033" max="12033" width="12.28515625" customWidth="1"/>
    <col min="12034" max="12034" width="13.7109375" customWidth="1"/>
    <col min="12036" max="12036" width="12.5703125" customWidth="1"/>
    <col min="12039" max="12040" width="9.28515625" customWidth="1"/>
    <col min="12043" max="12043" width="11.5703125" bestFit="1" customWidth="1"/>
    <col min="12044" max="12044" width="13.85546875" bestFit="1" customWidth="1"/>
    <col min="12045" max="12045" width="15.42578125" bestFit="1" customWidth="1"/>
    <col min="12289" max="12289" width="12.28515625" customWidth="1"/>
    <col min="12290" max="12290" width="13.7109375" customWidth="1"/>
    <col min="12292" max="12292" width="12.5703125" customWidth="1"/>
    <col min="12295" max="12296" width="9.28515625" customWidth="1"/>
    <col min="12299" max="12299" width="11.5703125" bestFit="1" customWidth="1"/>
    <col min="12300" max="12300" width="13.85546875" bestFit="1" customWidth="1"/>
    <col min="12301" max="12301" width="15.42578125" bestFit="1" customWidth="1"/>
    <col min="12545" max="12545" width="12.28515625" customWidth="1"/>
    <col min="12546" max="12546" width="13.7109375" customWidth="1"/>
    <col min="12548" max="12548" width="12.5703125" customWidth="1"/>
    <col min="12551" max="12552" width="9.28515625" customWidth="1"/>
    <col min="12555" max="12555" width="11.5703125" bestFit="1" customWidth="1"/>
    <col min="12556" max="12556" width="13.85546875" bestFit="1" customWidth="1"/>
    <col min="12557" max="12557" width="15.42578125" bestFit="1" customWidth="1"/>
    <col min="12801" max="12801" width="12.28515625" customWidth="1"/>
    <col min="12802" max="12802" width="13.7109375" customWidth="1"/>
    <col min="12804" max="12804" width="12.5703125" customWidth="1"/>
    <col min="12807" max="12808" width="9.28515625" customWidth="1"/>
    <col min="12811" max="12811" width="11.5703125" bestFit="1" customWidth="1"/>
    <col min="12812" max="12812" width="13.85546875" bestFit="1" customWidth="1"/>
    <col min="12813" max="12813" width="15.42578125" bestFit="1" customWidth="1"/>
    <col min="13057" max="13057" width="12.28515625" customWidth="1"/>
    <col min="13058" max="13058" width="13.7109375" customWidth="1"/>
    <col min="13060" max="13060" width="12.5703125" customWidth="1"/>
    <col min="13063" max="13064" width="9.28515625" customWidth="1"/>
    <col min="13067" max="13067" width="11.5703125" bestFit="1" customWidth="1"/>
    <col min="13068" max="13068" width="13.85546875" bestFit="1" customWidth="1"/>
    <col min="13069" max="13069" width="15.42578125" bestFit="1" customWidth="1"/>
    <col min="13313" max="13313" width="12.28515625" customWidth="1"/>
    <col min="13314" max="13314" width="13.7109375" customWidth="1"/>
    <col min="13316" max="13316" width="12.5703125" customWidth="1"/>
    <col min="13319" max="13320" width="9.28515625" customWidth="1"/>
    <col min="13323" max="13323" width="11.5703125" bestFit="1" customWidth="1"/>
    <col min="13324" max="13324" width="13.85546875" bestFit="1" customWidth="1"/>
    <col min="13325" max="13325" width="15.42578125" bestFit="1" customWidth="1"/>
    <col min="13569" max="13569" width="12.28515625" customWidth="1"/>
    <col min="13570" max="13570" width="13.7109375" customWidth="1"/>
    <col min="13572" max="13572" width="12.5703125" customWidth="1"/>
    <col min="13575" max="13576" width="9.28515625" customWidth="1"/>
    <col min="13579" max="13579" width="11.5703125" bestFit="1" customWidth="1"/>
    <col min="13580" max="13580" width="13.85546875" bestFit="1" customWidth="1"/>
    <col min="13581" max="13581" width="15.42578125" bestFit="1" customWidth="1"/>
    <col min="13825" max="13825" width="12.28515625" customWidth="1"/>
    <col min="13826" max="13826" width="13.7109375" customWidth="1"/>
    <col min="13828" max="13828" width="12.5703125" customWidth="1"/>
    <col min="13831" max="13832" width="9.28515625" customWidth="1"/>
    <col min="13835" max="13835" width="11.5703125" bestFit="1" customWidth="1"/>
    <col min="13836" max="13836" width="13.85546875" bestFit="1" customWidth="1"/>
    <col min="13837" max="13837" width="15.42578125" bestFit="1" customWidth="1"/>
    <col min="14081" max="14081" width="12.28515625" customWidth="1"/>
    <col min="14082" max="14082" width="13.7109375" customWidth="1"/>
    <col min="14084" max="14084" width="12.5703125" customWidth="1"/>
    <col min="14087" max="14088" width="9.28515625" customWidth="1"/>
    <col min="14091" max="14091" width="11.5703125" bestFit="1" customWidth="1"/>
    <col min="14092" max="14092" width="13.85546875" bestFit="1" customWidth="1"/>
    <col min="14093" max="14093" width="15.42578125" bestFit="1" customWidth="1"/>
    <col min="14337" max="14337" width="12.28515625" customWidth="1"/>
    <col min="14338" max="14338" width="13.7109375" customWidth="1"/>
    <col min="14340" max="14340" width="12.5703125" customWidth="1"/>
    <col min="14343" max="14344" width="9.28515625" customWidth="1"/>
    <col min="14347" max="14347" width="11.5703125" bestFit="1" customWidth="1"/>
    <col min="14348" max="14348" width="13.85546875" bestFit="1" customWidth="1"/>
    <col min="14349" max="14349" width="15.42578125" bestFit="1" customWidth="1"/>
    <col min="14593" max="14593" width="12.28515625" customWidth="1"/>
    <col min="14594" max="14594" width="13.7109375" customWidth="1"/>
    <col min="14596" max="14596" width="12.5703125" customWidth="1"/>
    <col min="14599" max="14600" width="9.28515625" customWidth="1"/>
    <col min="14603" max="14603" width="11.5703125" bestFit="1" customWidth="1"/>
    <col min="14604" max="14604" width="13.85546875" bestFit="1" customWidth="1"/>
    <col min="14605" max="14605" width="15.42578125" bestFit="1" customWidth="1"/>
    <col min="14849" max="14849" width="12.28515625" customWidth="1"/>
    <col min="14850" max="14850" width="13.7109375" customWidth="1"/>
    <col min="14852" max="14852" width="12.5703125" customWidth="1"/>
    <col min="14855" max="14856" width="9.28515625" customWidth="1"/>
    <col min="14859" max="14859" width="11.5703125" bestFit="1" customWidth="1"/>
    <col min="14860" max="14860" width="13.85546875" bestFit="1" customWidth="1"/>
    <col min="14861" max="14861" width="15.42578125" bestFit="1" customWidth="1"/>
    <col min="15105" max="15105" width="12.28515625" customWidth="1"/>
    <col min="15106" max="15106" width="13.7109375" customWidth="1"/>
    <col min="15108" max="15108" width="12.5703125" customWidth="1"/>
    <col min="15111" max="15112" width="9.28515625" customWidth="1"/>
    <col min="15115" max="15115" width="11.5703125" bestFit="1" customWidth="1"/>
    <col min="15116" max="15116" width="13.85546875" bestFit="1" customWidth="1"/>
    <col min="15117" max="15117" width="15.42578125" bestFit="1" customWidth="1"/>
    <col min="15361" max="15361" width="12.28515625" customWidth="1"/>
    <col min="15362" max="15362" width="13.7109375" customWidth="1"/>
    <col min="15364" max="15364" width="12.5703125" customWidth="1"/>
    <col min="15367" max="15368" width="9.28515625" customWidth="1"/>
    <col min="15371" max="15371" width="11.5703125" bestFit="1" customWidth="1"/>
    <col min="15372" max="15372" width="13.85546875" bestFit="1" customWidth="1"/>
    <col min="15373" max="15373" width="15.42578125" bestFit="1" customWidth="1"/>
    <col min="15617" max="15617" width="12.28515625" customWidth="1"/>
    <col min="15618" max="15618" width="13.7109375" customWidth="1"/>
    <col min="15620" max="15620" width="12.5703125" customWidth="1"/>
    <col min="15623" max="15624" width="9.28515625" customWidth="1"/>
    <col min="15627" max="15627" width="11.5703125" bestFit="1" customWidth="1"/>
    <col min="15628" max="15628" width="13.85546875" bestFit="1" customWidth="1"/>
    <col min="15629" max="15629" width="15.42578125" bestFit="1" customWidth="1"/>
    <col min="15873" max="15873" width="12.28515625" customWidth="1"/>
    <col min="15874" max="15874" width="13.7109375" customWidth="1"/>
    <col min="15876" max="15876" width="12.5703125" customWidth="1"/>
    <col min="15879" max="15880" width="9.28515625" customWidth="1"/>
    <col min="15883" max="15883" width="11.5703125" bestFit="1" customWidth="1"/>
    <col min="15884" max="15884" width="13.85546875" bestFit="1" customWidth="1"/>
    <col min="15885" max="15885" width="15.42578125" bestFit="1" customWidth="1"/>
    <col min="16129" max="16129" width="12.28515625" customWidth="1"/>
    <col min="16130" max="16130" width="13.7109375" customWidth="1"/>
    <col min="16132" max="16132" width="12.5703125" customWidth="1"/>
    <col min="16135" max="16136" width="9.28515625" customWidth="1"/>
    <col min="16139" max="16139" width="11.5703125" bestFit="1" customWidth="1"/>
    <col min="16140" max="16140" width="13.85546875" bestFit="1" customWidth="1"/>
    <col min="16141" max="16141" width="15.42578125" bestFit="1" customWidth="1"/>
  </cols>
  <sheetData>
    <row r="2" spans="1:8" ht="15.75" thickBot="1" x14ac:dyDescent="0.3"/>
    <row r="3" spans="1:8" ht="18" x14ac:dyDescent="0.25">
      <c r="A3" s="428"/>
      <c r="B3" s="429"/>
      <c r="C3" s="773" t="s">
        <v>160</v>
      </c>
      <c r="D3" s="774"/>
      <c r="E3" s="774"/>
      <c r="F3" s="775"/>
      <c r="G3" s="428"/>
      <c r="H3" s="429"/>
    </row>
    <row r="4" spans="1:8" x14ac:dyDescent="0.25">
      <c r="A4" s="430"/>
      <c r="B4" s="431"/>
      <c r="C4" s="776" t="s">
        <v>85</v>
      </c>
      <c r="D4" s="777"/>
      <c r="E4" s="777"/>
      <c r="F4" s="778"/>
      <c r="G4" s="430"/>
      <c r="H4" s="431"/>
    </row>
    <row r="5" spans="1:8" x14ac:dyDescent="0.25">
      <c r="A5" s="430"/>
      <c r="B5" s="431"/>
      <c r="C5" s="149"/>
      <c r="D5" s="58"/>
      <c r="E5" s="58"/>
      <c r="F5" s="150"/>
      <c r="G5" s="430"/>
      <c r="H5" s="431"/>
    </row>
    <row r="6" spans="1:8" x14ac:dyDescent="0.25">
      <c r="A6" s="430"/>
      <c r="B6" s="431"/>
      <c r="C6" s="776" t="s">
        <v>161</v>
      </c>
      <c r="D6" s="777"/>
      <c r="E6" s="777"/>
      <c r="F6" s="778"/>
      <c r="G6" s="430"/>
      <c r="H6" s="431"/>
    </row>
    <row r="7" spans="1:8" x14ac:dyDescent="0.25">
      <c r="A7" s="430"/>
      <c r="B7" s="431"/>
      <c r="C7" s="776" t="s">
        <v>162</v>
      </c>
      <c r="D7" s="777"/>
      <c r="E7" s="777"/>
      <c r="F7" s="778"/>
      <c r="G7" s="430"/>
      <c r="H7" s="431"/>
    </row>
    <row r="8" spans="1:8" ht="15.75" thickBot="1" x14ac:dyDescent="0.3">
      <c r="A8" s="432"/>
      <c r="B8" s="433"/>
      <c r="C8" s="151"/>
      <c r="D8" s="152"/>
      <c r="E8" s="152"/>
      <c r="F8" s="153"/>
      <c r="G8" s="432"/>
      <c r="H8" s="433"/>
    </row>
    <row r="10" spans="1:8" ht="15.75" thickBot="1" x14ac:dyDescent="0.3">
      <c r="A10" s="779" t="s">
        <v>163</v>
      </c>
      <c r="B10" s="779"/>
      <c r="C10" s="779"/>
      <c r="D10" s="779"/>
      <c r="E10" s="779"/>
      <c r="F10" s="779"/>
      <c r="G10" s="779"/>
      <c r="H10" s="779"/>
    </row>
    <row r="11" spans="1:8" ht="15.75" thickBot="1" x14ac:dyDescent="0.3">
      <c r="A11" s="57"/>
      <c r="B11" s="57"/>
      <c r="C11" s="57"/>
      <c r="D11" s="57"/>
      <c r="E11" s="57"/>
      <c r="F11" s="57"/>
      <c r="G11" s="405" t="s">
        <v>259</v>
      </c>
      <c r="H11" s="406"/>
    </row>
    <row r="12" spans="1:8" ht="15.75" thickBot="1" x14ac:dyDescent="0.3"/>
    <row r="13" spans="1:8" ht="49.5" customHeight="1" x14ac:dyDescent="0.25">
      <c r="A13" s="407" t="s">
        <v>428</v>
      </c>
      <c r="B13" s="408"/>
      <c r="C13" s="408"/>
      <c r="D13" s="408"/>
      <c r="E13" s="408"/>
      <c r="F13" s="408"/>
      <c r="G13" s="408"/>
      <c r="H13" s="409"/>
    </row>
    <row r="14" spans="1:8" x14ac:dyDescent="0.25">
      <c r="A14" s="410"/>
      <c r="B14" s="411"/>
      <c r="C14" s="411"/>
      <c r="D14" s="411"/>
      <c r="E14" s="411"/>
      <c r="F14" s="411"/>
      <c r="G14" s="411"/>
      <c r="H14" s="412"/>
    </row>
    <row r="15" spans="1:8" ht="15.75" thickBot="1" x14ac:dyDescent="0.3">
      <c r="A15" s="413"/>
      <c r="B15" s="414"/>
      <c r="C15" s="414"/>
      <c r="D15" s="414"/>
      <c r="E15" s="414"/>
      <c r="F15" s="414"/>
      <c r="G15" s="414"/>
      <c r="H15" s="415"/>
    </row>
    <row r="16" spans="1:8" ht="15.75" thickBot="1" x14ac:dyDescent="0.3">
      <c r="A16" s="58"/>
    </row>
    <row r="17" spans="1:13" x14ac:dyDescent="0.25">
      <c r="A17" s="416" t="s">
        <v>433</v>
      </c>
      <c r="B17" s="418" t="s">
        <v>249</v>
      </c>
      <c r="C17" s="419"/>
      <c r="D17" s="419"/>
      <c r="E17" s="419"/>
      <c r="F17" s="420"/>
      <c r="G17" s="416" t="s">
        <v>166</v>
      </c>
      <c r="H17" s="780" t="s">
        <v>250</v>
      </c>
    </row>
    <row r="18" spans="1:13" ht="15.75" thickBot="1" x14ac:dyDescent="0.3">
      <c r="A18" s="417"/>
      <c r="B18" s="421"/>
      <c r="C18" s="422"/>
      <c r="D18" s="422"/>
      <c r="E18" s="422"/>
      <c r="F18" s="423"/>
      <c r="G18" s="417"/>
      <c r="H18" s="417"/>
    </row>
    <row r="19" spans="1:13" x14ac:dyDescent="0.25">
      <c r="A19" s="119" t="s">
        <v>168</v>
      </c>
    </row>
    <row r="20" spans="1:13" x14ac:dyDescent="0.25">
      <c r="A20" s="704" t="s">
        <v>1</v>
      </c>
      <c r="B20" s="704"/>
      <c r="C20" s="704" t="s">
        <v>169</v>
      </c>
      <c r="D20" s="704"/>
      <c r="E20" s="704" t="s">
        <v>170</v>
      </c>
      <c r="F20" s="704"/>
      <c r="G20" s="704" t="s">
        <v>171</v>
      </c>
      <c r="H20" s="704"/>
    </row>
    <row r="21" spans="1:13" ht="108" customHeight="1" x14ac:dyDescent="0.25">
      <c r="A21" s="385" t="s">
        <v>411</v>
      </c>
      <c r="B21" s="401"/>
      <c r="C21" s="380">
        <v>130000</v>
      </c>
      <c r="D21" s="380"/>
      <c r="E21" s="457">
        <v>4</v>
      </c>
      <c r="F21" s="457"/>
      <c r="G21" s="380">
        <f>+C21/E21</f>
        <v>32500</v>
      </c>
      <c r="H21" s="380"/>
    </row>
    <row r="22" spans="1:13" ht="30" customHeight="1" x14ac:dyDescent="0.25">
      <c r="A22" s="385" t="s">
        <v>251</v>
      </c>
      <c r="B22" s="401"/>
      <c r="C22" s="391">
        <v>150000</v>
      </c>
      <c r="D22" s="392"/>
      <c r="E22" s="457">
        <v>100</v>
      </c>
      <c r="F22" s="457"/>
      <c r="G22" s="380">
        <f>+C22/E22</f>
        <v>1500</v>
      </c>
      <c r="H22" s="380"/>
    </row>
    <row r="23" spans="1:13" ht="25.5" customHeight="1" x14ac:dyDescent="0.25">
      <c r="A23" s="385" t="s">
        <v>252</v>
      </c>
      <c r="B23" s="401"/>
      <c r="C23" s="380"/>
      <c r="D23" s="380"/>
      <c r="E23" s="541">
        <v>0.1</v>
      </c>
      <c r="F23" s="541"/>
      <c r="G23" s="380">
        <f>+E23*G45</f>
        <v>17883.333333333332</v>
      </c>
      <c r="H23" s="380"/>
    </row>
    <row r="24" spans="1:13" x14ac:dyDescent="0.25">
      <c r="C24" s="387" t="s">
        <v>174</v>
      </c>
      <c r="D24" s="387"/>
      <c r="E24" s="387"/>
      <c r="F24" s="387"/>
      <c r="G24" s="388">
        <f>SUM(G21:G23)</f>
        <v>51883.333333333328</v>
      </c>
      <c r="H24" s="388"/>
      <c r="K24" s="154"/>
      <c r="L24" s="154"/>
    </row>
    <row r="25" spans="1:13" x14ac:dyDescent="0.25">
      <c r="C25" s="62"/>
      <c r="D25" s="62"/>
      <c r="E25" s="62"/>
      <c r="F25" s="62"/>
      <c r="G25" s="63"/>
      <c r="H25" s="63"/>
      <c r="L25" s="154"/>
    </row>
    <row r="26" spans="1:13" x14ac:dyDescent="0.25">
      <c r="A26" s="119" t="s">
        <v>175</v>
      </c>
      <c r="L26" s="154"/>
    </row>
    <row r="27" spans="1:13" x14ac:dyDescent="0.25">
      <c r="A27" s="704" t="s">
        <v>1</v>
      </c>
      <c r="B27" s="704"/>
      <c r="C27" s="120" t="s">
        <v>176</v>
      </c>
      <c r="D27" s="120" t="s">
        <v>177</v>
      </c>
      <c r="E27" s="704" t="s">
        <v>3</v>
      </c>
      <c r="F27" s="704"/>
      <c r="G27" s="704" t="s">
        <v>171</v>
      </c>
      <c r="H27" s="704"/>
      <c r="L27" s="154"/>
    </row>
    <row r="28" spans="1:13" ht="79.5" customHeight="1" x14ac:dyDescent="0.25">
      <c r="A28" s="385" t="s">
        <v>412</v>
      </c>
      <c r="B28" s="401"/>
      <c r="C28" s="71" t="s">
        <v>176</v>
      </c>
      <c r="D28" s="71">
        <f>72*3000*1.16</f>
        <v>250559.99999999997</v>
      </c>
      <c r="E28" s="457">
        <v>1</v>
      </c>
      <c r="F28" s="457"/>
      <c r="G28" s="391">
        <f>+D28*E28</f>
        <v>250559.99999999997</v>
      </c>
      <c r="H28" s="392"/>
    </row>
    <row r="29" spans="1:13" ht="27" customHeight="1" x14ac:dyDescent="0.25">
      <c r="A29" s="781" t="s">
        <v>399</v>
      </c>
      <c r="B29" s="781"/>
      <c r="C29" s="128" t="s">
        <v>400</v>
      </c>
      <c r="D29" s="128"/>
      <c r="E29" s="782">
        <v>0.17</v>
      </c>
      <c r="F29" s="782"/>
      <c r="G29" s="706">
        <f>+E29*(G28)</f>
        <v>42595.199999999997</v>
      </c>
      <c r="H29" s="707"/>
    </row>
    <row r="30" spans="1:13" x14ac:dyDescent="0.25">
      <c r="A30" s="122"/>
      <c r="B30" s="122"/>
      <c r="C30" s="387" t="s">
        <v>174</v>
      </c>
      <c r="D30" s="387"/>
      <c r="E30" s="387"/>
      <c r="F30" s="387"/>
      <c r="G30" s="388">
        <f>SUM(G28:G29)</f>
        <v>293155.19999999995</v>
      </c>
      <c r="H30" s="388"/>
    </row>
    <row r="32" spans="1:13" x14ac:dyDescent="0.25">
      <c r="A32" s="119" t="s">
        <v>253</v>
      </c>
      <c r="L32" s="155"/>
      <c r="M32" s="155"/>
    </row>
    <row r="33" spans="1:13" x14ac:dyDescent="0.25">
      <c r="A33" s="704" t="s">
        <v>182</v>
      </c>
      <c r="B33" s="704"/>
      <c r="C33" s="120" t="s">
        <v>183</v>
      </c>
      <c r="D33" s="124" t="s">
        <v>184</v>
      </c>
      <c r="E33" s="704" t="s">
        <v>185</v>
      </c>
      <c r="F33" s="704"/>
      <c r="G33" s="704" t="s">
        <v>171</v>
      </c>
      <c r="H33" s="704"/>
    </row>
    <row r="34" spans="1:13" x14ac:dyDescent="0.25">
      <c r="A34" s="705" t="s">
        <v>254</v>
      </c>
      <c r="B34" s="705"/>
      <c r="C34" s="125">
        <v>1</v>
      </c>
      <c r="D34" s="125">
        <v>350</v>
      </c>
      <c r="E34" s="388">
        <v>6</v>
      </c>
      <c r="F34" s="388"/>
      <c r="G34" s="388">
        <f>+C34*D34*E34</f>
        <v>2100</v>
      </c>
      <c r="H34" s="388"/>
    </row>
    <row r="35" spans="1:13" x14ac:dyDescent="0.25">
      <c r="A35" s="705"/>
      <c r="B35" s="705"/>
      <c r="C35" s="125"/>
      <c r="D35" s="125"/>
      <c r="E35" s="388"/>
      <c r="F35" s="388"/>
      <c r="G35" s="388"/>
      <c r="H35" s="388"/>
    </row>
    <row r="36" spans="1:13" x14ac:dyDescent="0.25">
      <c r="A36" s="705"/>
      <c r="B36" s="705"/>
      <c r="C36" s="125"/>
      <c r="D36" s="125"/>
      <c r="E36" s="388"/>
      <c r="F36" s="388"/>
      <c r="G36" s="388"/>
      <c r="H36" s="388"/>
    </row>
    <row r="37" spans="1:13" x14ac:dyDescent="0.25">
      <c r="A37" s="122"/>
      <c r="B37" s="122"/>
      <c r="C37" s="387" t="s">
        <v>174</v>
      </c>
      <c r="D37" s="387"/>
      <c r="E37" s="387"/>
      <c r="F37" s="387"/>
      <c r="G37" s="388">
        <f>SUM(G34:H36)</f>
        <v>2100</v>
      </c>
      <c r="H37" s="388"/>
    </row>
    <row r="38" spans="1:13" x14ac:dyDescent="0.25">
      <c r="L38" s="155"/>
      <c r="M38" s="155"/>
    </row>
    <row r="39" spans="1:13" x14ac:dyDescent="0.25">
      <c r="A39" s="119" t="s">
        <v>255</v>
      </c>
    </row>
    <row r="40" spans="1:13" x14ac:dyDescent="0.25">
      <c r="A40" s="704" t="s">
        <v>187</v>
      </c>
      <c r="B40" s="704"/>
      <c r="C40" s="123" t="s">
        <v>188</v>
      </c>
      <c r="D40" s="124" t="s">
        <v>189</v>
      </c>
      <c r="E40" s="126" t="s">
        <v>190</v>
      </c>
      <c r="F40" s="127" t="s">
        <v>170</v>
      </c>
      <c r="G40" s="704" t="s">
        <v>171</v>
      </c>
      <c r="H40" s="704"/>
    </row>
    <row r="41" spans="1:13" x14ac:dyDescent="0.25">
      <c r="A41" s="397" t="s">
        <v>256</v>
      </c>
      <c r="B41" s="398"/>
      <c r="C41" s="128">
        <v>90000</v>
      </c>
      <c r="D41" s="60">
        <v>0.85</v>
      </c>
      <c r="E41" s="128">
        <f>+((C41*D41)+C41)</f>
        <v>166500</v>
      </c>
      <c r="F41" s="113">
        <v>3</v>
      </c>
      <c r="G41" s="388">
        <f>+E41/F41</f>
        <v>55500</v>
      </c>
      <c r="H41" s="388"/>
    </row>
    <row r="42" spans="1:13" x14ac:dyDescent="0.25">
      <c r="A42" s="599" t="s">
        <v>201</v>
      </c>
      <c r="B42" s="600"/>
      <c r="C42" s="156">
        <v>60000</v>
      </c>
      <c r="D42" s="60">
        <v>0.85</v>
      </c>
      <c r="E42" s="128">
        <f>+((C42*D42)+C42)</f>
        <v>111000</v>
      </c>
      <c r="F42" s="113">
        <v>3</v>
      </c>
      <c r="G42" s="601">
        <f>+E42/F42</f>
        <v>37000</v>
      </c>
      <c r="H42" s="601"/>
    </row>
    <row r="43" spans="1:13" x14ac:dyDescent="0.25">
      <c r="A43" s="705" t="s">
        <v>257</v>
      </c>
      <c r="B43" s="705"/>
      <c r="C43" s="128">
        <f>35000*4</f>
        <v>140000</v>
      </c>
      <c r="D43" s="60">
        <v>0.85</v>
      </c>
      <c r="E43" s="128">
        <f>+((C43*D43)+C43)</f>
        <v>259000</v>
      </c>
      <c r="F43" s="113">
        <v>3</v>
      </c>
      <c r="G43" s="388">
        <f>+E43/F43</f>
        <v>86333.333333333328</v>
      </c>
      <c r="H43" s="388"/>
    </row>
    <row r="44" spans="1:13" x14ac:dyDescent="0.25">
      <c r="A44" s="705"/>
      <c r="B44" s="705"/>
      <c r="C44" s="128"/>
      <c r="D44" s="125"/>
      <c r="E44" s="128"/>
      <c r="F44" s="125"/>
      <c r="G44" s="388"/>
      <c r="H44" s="388"/>
    </row>
    <row r="45" spans="1:13" x14ac:dyDescent="0.25">
      <c r="A45" s="122"/>
      <c r="B45" s="122"/>
      <c r="C45" s="387" t="s">
        <v>174</v>
      </c>
      <c r="D45" s="387"/>
      <c r="E45" s="387"/>
      <c r="F45" s="387"/>
      <c r="G45" s="388">
        <f>+SUM(G41:H44)</f>
        <v>178833.33333333331</v>
      </c>
      <c r="H45" s="388"/>
    </row>
    <row r="48" spans="1:13" x14ac:dyDescent="0.25">
      <c r="A48" s="382" t="s">
        <v>193</v>
      </c>
      <c r="B48" s="382"/>
      <c r="C48" s="382"/>
      <c r="D48" s="382"/>
      <c r="E48" s="382"/>
      <c r="F48" s="382"/>
      <c r="G48" s="783">
        <f>ROUND(G24+G30+G37+G45,0)</f>
        <v>525972</v>
      </c>
      <c r="H48" s="783"/>
    </row>
    <row r="49" spans="7:7" x14ac:dyDescent="0.25">
      <c r="G49" s="310">
        <f>+G48</f>
        <v>525972</v>
      </c>
    </row>
  </sheetData>
  <mergeCells count="70">
    <mergeCell ref="A44:B44"/>
    <mergeCell ref="G44:H44"/>
    <mergeCell ref="C45:F45"/>
    <mergeCell ref="G45:H45"/>
    <mergeCell ref="A48:F48"/>
    <mergeCell ref="G48:H48"/>
    <mergeCell ref="A41:B41"/>
    <mergeCell ref="G41:H41"/>
    <mergeCell ref="A42:B42"/>
    <mergeCell ref="G42:H42"/>
    <mergeCell ref="A43:B43"/>
    <mergeCell ref="G43:H43"/>
    <mergeCell ref="A40:B40"/>
    <mergeCell ref="G40:H40"/>
    <mergeCell ref="A34:B34"/>
    <mergeCell ref="E34:F34"/>
    <mergeCell ref="G34:H34"/>
    <mergeCell ref="A35:B35"/>
    <mergeCell ref="E35:F35"/>
    <mergeCell ref="G35:H35"/>
    <mergeCell ref="A36:B36"/>
    <mergeCell ref="E36:F36"/>
    <mergeCell ref="G36:H36"/>
    <mergeCell ref="C37:F37"/>
    <mergeCell ref="G37:H37"/>
    <mergeCell ref="A33:B33"/>
    <mergeCell ref="E33:F33"/>
    <mergeCell ref="G33:H33"/>
    <mergeCell ref="C24:F24"/>
    <mergeCell ref="G24:H24"/>
    <mergeCell ref="A27:B27"/>
    <mergeCell ref="E27:F27"/>
    <mergeCell ref="G27:H27"/>
    <mergeCell ref="A28:B28"/>
    <mergeCell ref="E28:F28"/>
    <mergeCell ref="G28:H28"/>
    <mergeCell ref="A29:B29"/>
    <mergeCell ref="E29:F29"/>
    <mergeCell ref="G29:H29"/>
    <mergeCell ref="C30:F30"/>
    <mergeCell ref="G30:H30"/>
    <mergeCell ref="A22:B22"/>
    <mergeCell ref="C22:D22"/>
    <mergeCell ref="E22:F22"/>
    <mergeCell ref="G22:H22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0:H10"/>
    <mergeCell ref="G11:H11"/>
    <mergeCell ref="A13:H15"/>
    <mergeCell ref="A17:A18"/>
    <mergeCell ref="B17:F18"/>
    <mergeCell ref="G17:G18"/>
    <mergeCell ref="H17:H18"/>
    <mergeCell ref="A3:B8"/>
    <mergeCell ref="C3:F3"/>
    <mergeCell ref="G3:H8"/>
    <mergeCell ref="C4:F4"/>
    <mergeCell ref="C6:F6"/>
    <mergeCell ref="C7:F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55"/>
  <sheetViews>
    <sheetView workbookViewId="0">
      <selection activeCell="G54" sqref="G54:H54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428"/>
      <c r="B3" s="429"/>
      <c r="C3" s="773" t="s">
        <v>160</v>
      </c>
      <c r="D3" s="774"/>
      <c r="E3" s="774"/>
      <c r="F3" s="775"/>
      <c r="G3" s="428"/>
      <c r="H3" s="429"/>
    </row>
    <row r="4" spans="1:8" x14ac:dyDescent="0.25">
      <c r="A4" s="430"/>
      <c r="B4" s="431"/>
      <c r="C4" s="776" t="s">
        <v>85</v>
      </c>
      <c r="D4" s="777"/>
      <c r="E4" s="777"/>
      <c r="F4" s="778"/>
      <c r="G4" s="430"/>
      <c r="H4" s="431"/>
    </row>
    <row r="5" spans="1:8" x14ac:dyDescent="0.25">
      <c r="A5" s="430"/>
      <c r="B5" s="431"/>
      <c r="C5" s="149"/>
      <c r="D5" s="58"/>
      <c r="E5" s="58"/>
      <c r="F5" s="150"/>
      <c r="G5" s="430"/>
      <c r="H5" s="431"/>
    </row>
    <row r="6" spans="1:8" x14ac:dyDescent="0.25">
      <c r="A6" s="430"/>
      <c r="B6" s="431"/>
      <c r="C6" s="776" t="s">
        <v>161</v>
      </c>
      <c r="D6" s="777"/>
      <c r="E6" s="777"/>
      <c r="F6" s="778"/>
      <c r="G6" s="430"/>
      <c r="H6" s="431"/>
    </row>
    <row r="7" spans="1:8" x14ac:dyDescent="0.25">
      <c r="A7" s="430"/>
      <c r="B7" s="431"/>
      <c r="C7" s="776" t="s">
        <v>162</v>
      </c>
      <c r="D7" s="777"/>
      <c r="E7" s="777"/>
      <c r="F7" s="778"/>
      <c r="G7" s="430"/>
      <c r="H7" s="431"/>
    </row>
    <row r="8" spans="1:8" ht="15.75" thickBot="1" x14ac:dyDescent="0.3">
      <c r="A8" s="432"/>
      <c r="B8" s="433"/>
      <c r="C8" s="151"/>
      <c r="D8" s="152"/>
      <c r="E8" s="152"/>
      <c r="F8" s="153"/>
      <c r="G8" s="432"/>
      <c r="H8" s="433"/>
    </row>
    <row r="10" spans="1:8" ht="15.75" thickBot="1" x14ac:dyDescent="0.3">
      <c r="A10" s="779" t="s">
        <v>163</v>
      </c>
      <c r="B10" s="779"/>
      <c r="C10" s="779"/>
      <c r="D10" s="779"/>
      <c r="E10" s="779"/>
      <c r="F10" s="779"/>
      <c r="G10" s="779"/>
      <c r="H10" s="779"/>
    </row>
    <row r="11" spans="1:8" ht="15.75" thickBot="1" x14ac:dyDescent="0.3">
      <c r="A11" s="326"/>
      <c r="B11" s="326"/>
      <c r="C11" s="326"/>
      <c r="D11" s="326"/>
      <c r="E11" s="326"/>
      <c r="F11" s="326"/>
      <c r="G11" s="405" t="s">
        <v>259</v>
      </c>
      <c r="H11" s="406"/>
    </row>
    <row r="12" spans="1:8" ht="15.75" thickBot="1" x14ac:dyDescent="0.3"/>
    <row r="13" spans="1:8" ht="56.25" customHeight="1" x14ac:dyDescent="0.25">
      <c r="A13" s="407" t="s">
        <v>428</v>
      </c>
      <c r="B13" s="408"/>
      <c r="C13" s="408"/>
      <c r="D13" s="408"/>
      <c r="E13" s="408"/>
      <c r="F13" s="408"/>
      <c r="G13" s="408"/>
      <c r="H13" s="409"/>
    </row>
    <row r="14" spans="1:8" x14ac:dyDescent="0.25">
      <c r="A14" s="410"/>
      <c r="B14" s="411"/>
      <c r="C14" s="411"/>
      <c r="D14" s="411"/>
      <c r="E14" s="411"/>
      <c r="F14" s="411"/>
      <c r="G14" s="411"/>
      <c r="H14" s="412"/>
    </row>
    <row r="15" spans="1:8" ht="15.75" thickBot="1" x14ac:dyDescent="0.3">
      <c r="A15" s="413"/>
      <c r="B15" s="414"/>
      <c r="C15" s="414"/>
      <c r="D15" s="414"/>
      <c r="E15" s="414"/>
      <c r="F15" s="414"/>
      <c r="G15" s="414"/>
      <c r="H15" s="415"/>
    </row>
    <row r="16" spans="1:8" ht="15.75" thickBot="1" x14ac:dyDescent="0.3">
      <c r="A16" s="58"/>
    </row>
    <row r="17" spans="1:8" ht="21" customHeight="1" x14ac:dyDescent="0.25">
      <c r="A17" s="416" t="s">
        <v>432</v>
      </c>
      <c r="B17" s="418" t="s">
        <v>388</v>
      </c>
      <c r="C17" s="419"/>
      <c r="D17" s="419"/>
      <c r="E17" s="419"/>
      <c r="F17" s="420"/>
      <c r="G17" s="416" t="s">
        <v>166</v>
      </c>
      <c r="H17" s="780" t="s">
        <v>250</v>
      </c>
    </row>
    <row r="18" spans="1:8" ht="15.75" thickBot="1" x14ac:dyDescent="0.3">
      <c r="A18" s="417"/>
      <c r="B18" s="421"/>
      <c r="C18" s="422"/>
      <c r="D18" s="422"/>
      <c r="E18" s="422"/>
      <c r="F18" s="423"/>
      <c r="G18" s="417"/>
      <c r="H18" s="417"/>
    </row>
    <row r="19" spans="1:8" x14ac:dyDescent="0.25">
      <c r="A19" s="119" t="s">
        <v>168</v>
      </c>
    </row>
    <row r="20" spans="1:8" x14ac:dyDescent="0.25">
      <c r="A20" s="704" t="s">
        <v>1</v>
      </c>
      <c r="B20" s="704"/>
      <c r="C20" s="704" t="s">
        <v>169</v>
      </c>
      <c r="D20" s="704"/>
      <c r="E20" s="704" t="s">
        <v>170</v>
      </c>
      <c r="F20" s="704"/>
      <c r="G20" s="704" t="s">
        <v>171</v>
      </c>
      <c r="H20" s="704"/>
    </row>
    <row r="21" spans="1:8" ht="23.25" customHeight="1" x14ac:dyDescent="0.25">
      <c r="A21" s="393" t="s">
        <v>389</v>
      </c>
      <c r="B21" s="394"/>
      <c r="C21" s="388">
        <v>10000</v>
      </c>
      <c r="D21" s="388"/>
      <c r="E21" s="785">
        <v>8</v>
      </c>
      <c r="F21" s="785"/>
      <c r="G21" s="388">
        <f t="shared" ref="G21:G26" si="0">+C21/E21</f>
        <v>1250</v>
      </c>
      <c r="H21" s="388"/>
    </row>
    <row r="22" spans="1:8" ht="29.25" customHeight="1" x14ac:dyDescent="0.25">
      <c r="A22" s="393" t="s">
        <v>390</v>
      </c>
      <c r="B22" s="394"/>
      <c r="C22" s="388">
        <v>35000</v>
      </c>
      <c r="D22" s="388"/>
      <c r="E22" s="785">
        <v>8</v>
      </c>
      <c r="F22" s="785"/>
      <c r="G22" s="388">
        <f t="shared" si="0"/>
        <v>4375</v>
      </c>
      <c r="H22" s="388"/>
    </row>
    <row r="23" spans="1:8" x14ac:dyDescent="0.25">
      <c r="A23" s="393" t="s">
        <v>391</v>
      </c>
      <c r="B23" s="394"/>
      <c r="C23" s="388">
        <v>12000</v>
      </c>
      <c r="D23" s="388"/>
      <c r="E23" s="785">
        <v>8</v>
      </c>
      <c r="F23" s="785"/>
      <c r="G23" s="388">
        <f t="shared" si="0"/>
        <v>1500</v>
      </c>
      <c r="H23" s="388"/>
    </row>
    <row r="24" spans="1:8" ht="27.75" customHeight="1" x14ac:dyDescent="0.25">
      <c r="A24" s="393" t="s">
        <v>392</v>
      </c>
      <c r="B24" s="394"/>
      <c r="C24" s="388">
        <v>130000</v>
      </c>
      <c r="D24" s="388"/>
      <c r="E24" s="785">
        <v>8</v>
      </c>
      <c r="F24" s="785"/>
      <c r="G24" s="388">
        <f t="shared" si="0"/>
        <v>16250</v>
      </c>
      <c r="H24" s="388"/>
    </row>
    <row r="25" spans="1:8" x14ac:dyDescent="0.25">
      <c r="A25" s="393" t="s">
        <v>393</v>
      </c>
      <c r="B25" s="394"/>
      <c r="C25" s="388">
        <v>1500</v>
      </c>
      <c r="D25" s="388"/>
      <c r="E25" s="785">
        <v>8</v>
      </c>
      <c r="F25" s="785"/>
      <c r="G25" s="388">
        <f t="shared" si="0"/>
        <v>187.5</v>
      </c>
      <c r="H25" s="388"/>
    </row>
    <row r="26" spans="1:8" x14ac:dyDescent="0.25">
      <c r="A26" s="393" t="s">
        <v>394</v>
      </c>
      <c r="B26" s="394"/>
      <c r="C26" s="388">
        <v>1800</v>
      </c>
      <c r="D26" s="388"/>
      <c r="E26" s="785">
        <v>8</v>
      </c>
      <c r="F26" s="785"/>
      <c r="G26" s="388">
        <f t="shared" si="0"/>
        <v>225</v>
      </c>
      <c r="H26" s="388"/>
    </row>
    <row r="27" spans="1:8" x14ac:dyDescent="0.25">
      <c r="C27" s="387" t="s">
        <v>174</v>
      </c>
      <c r="D27" s="387"/>
      <c r="E27" s="387"/>
      <c r="F27" s="387"/>
      <c r="G27" s="388">
        <f>SUM(G21:H26)</f>
        <v>23787.5</v>
      </c>
      <c r="H27" s="388"/>
    </row>
    <row r="28" spans="1:8" x14ac:dyDescent="0.25">
      <c r="C28" s="62"/>
      <c r="D28" s="62"/>
      <c r="E28" s="62"/>
      <c r="F28" s="62"/>
      <c r="G28" s="63"/>
      <c r="H28" s="63"/>
    </row>
    <row r="29" spans="1:8" x14ac:dyDescent="0.25">
      <c r="A29" s="119" t="s">
        <v>175</v>
      </c>
    </row>
    <row r="30" spans="1:8" x14ac:dyDescent="0.25">
      <c r="A30" s="704" t="s">
        <v>1</v>
      </c>
      <c r="B30" s="704"/>
      <c r="C30" s="325" t="s">
        <v>176</v>
      </c>
      <c r="D30" s="325" t="s">
        <v>177</v>
      </c>
      <c r="E30" s="704" t="s">
        <v>3</v>
      </c>
      <c r="F30" s="704"/>
      <c r="G30" s="704" t="s">
        <v>171</v>
      </c>
      <c r="H30" s="704"/>
    </row>
    <row r="31" spans="1:8" ht="24.75" customHeight="1" x14ac:dyDescent="0.25">
      <c r="A31" s="393" t="s">
        <v>395</v>
      </c>
      <c r="B31" s="394"/>
      <c r="C31" s="128" t="s">
        <v>176</v>
      </c>
      <c r="D31" s="128">
        <v>270000</v>
      </c>
      <c r="E31" s="448">
        <v>1</v>
      </c>
      <c r="F31" s="448"/>
      <c r="G31" s="706">
        <f>+D31*E31</f>
        <v>270000</v>
      </c>
      <c r="H31" s="707"/>
    </row>
    <row r="32" spans="1:8" x14ac:dyDescent="0.25">
      <c r="A32" s="393" t="s">
        <v>396</v>
      </c>
      <c r="B32" s="394"/>
      <c r="C32" s="128" t="s">
        <v>176</v>
      </c>
      <c r="D32" s="128">
        <f>1.16*3000</f>
        <v>3479.9999999999995</v>
      </c>
      <c r="E32" s="448">
        <v>8</v>
      </c>
      <c r="F32" s="448"/>
      <c r="G32" s="706">
        <f>+D32*E32</f>
        <v>27839.999999999996</v>
      </c>
      <c r="H32" s="707"/>
    </row>
    <row r="33" spans="1:8" x14ac:dyDescent="0.25">
      <c r="A33" s="397" t="s">
        <v>397</v>
      </c>
      <c r="B33" s="398"/>
      <c r="C33" s="128" t="s">
        <v>176</v>
      </c>
      <c r="D33" s="128">
        <v>12000</v>
      </c>
      <c r="E33" s="448">
        <v>2</v>
      </c>
      <c r="F33" s="448"/>
      <c r="G33" s="706">
        <f>+D33*E33</f>
        <v>24000</v>
      </c>
      <c r="H33" s="707"/>
    </row>
    <row r="34" spans="1:8" x14ac:dyDescent="0.25">
      <c r="A34" s="397" t="s">
        <v>398</v>
      </c>
      <c r="B34" s="398"/>
      <c r="C34" s="128" t="s">
        <v>176</v>
      </c>
      <c r="D34" s="128">
        <v>7000</v>
      </c>
      <c r="E34" s="448">
        <v>4</v>
      </c>
      <c r="F34" s="448"/>
      <c r="G34" s="706">
        <f>+D34*E34</f>
        <v>28000</v>
      </c>
      <c r="H34" s="707"/>
    </row>
    <row r="35" spans="1:8" ht="25.5" customHeight="1" x14ac:dyDescent="0.25">
      <c r="A35" s="784" t="s">
        <v>399</v>
      </c>
      <c r="B35" s="784"/>
      <c r="C35" s="128" t="s">
        <v>400</v>
      </c>
      <c r="D35" s="128"/>
      <c r="E35" s="782">
        <v>0.17</v>
      </c>
      <c r="F35" s="782"/>
      <c r="G35" s="706">
        <f>+E35*(G34+G33+G31)</f>
        <v>54740.000000000007</v>
      </c>
      <c r="H35" s="707"/>
    </row>
    <row r="36" spans="1:8" x14ac:dyDescent="0.25">
      <c r="A36" s="122"/>
      <c r="B36" s="122"/>
      <c r="C36" s="387" t="s">
        <v>174</v>
      </c>
      <c r="D36" s="387"/>
      <c r="E36" s="387"/>
      <c r="F36" s="387"/>
      <c r="G36" s="388">
        <f>SUM(G31:H35)</f>
        <v>404580</v>
      </c>
      <c r="H36" s="388"/>
    </row>
    <row r="38" spans="1:8" x14ac:dyDescent="0.25">
      <c r="A38" s="119" t="s">
        <v>253</v>
      </c>
    </row>
    <row r="39" spans="1:8" x14ac:dyDescent="0.25">
      <c r="A39" s="704" t="s">
        <v>182</v>
      </c>
      <c r="B39" s="704"/>
      <c r="C39" s="123" t="s">
        <v>183</v>
      </c>
      <c r="D39" s="124" t="s">
        <v>184</v>
      </c>
      <c r="E39" s="704" t="s">
        <v>185</v>
      </c>
      <c r="F39" s="704"/>
      <c r="G39" s="704" t="s">
        <v>171</v>
      </c>
      <c r="H39" s="704"/>
    </row>
    <row r="40" spans="1:8" x14ac:dyDescent="0.25">
      <c r="A40" s="397" t="s">
        <v>401</v>
      </c>
      <c r="B40" s="398"/>
      <c r="C40" s="125">
        <v>1</v>
      </c>
      <c r="D40" s="125">
        <v>350</v>
      </c>
      <c r="E40" s="388">
        <v>6</v>
      </c>
      <c r="F40" s="388"/>
      <c r="G40" s="388">
        <f>+C40*D40*E40</f>
        <v>2100</v>
      </c>
      <c r="H40" s="388"/>
    </row>
    <row r="41" spans="1:8" x14ac:dyDescent="0.25">
      <c r="A41" s="397" t="s">
        <v>396</v>
      </c>
      <c r="B41" s="398"/>
      <c r="C41" s="125">
        <v>1</v>
      </c>
      <c r="D41" s="125">
        <v>350</v>
      </c>
      <c r="E41" s="388">
        <v>0.5</v>
      </c>
      <c r="F41" s="388"/>
      <c r="G41" s="388">
        <f>+C41*D41*E41</f>
        <v>175</v>
      </c>
      <c r="H41" s="388"/>
    </row>
    <row r="42" spans="1:8" x14ac:dyDescent="0.25">
      <c r="A42" s="397" t="s">
        <v>397</v>
      </c>
      <c r="B42" s="398"/>
      <c r="C42" s="125">
        <v>1</v>
      </c>
      <c r="D42" s="125">
        <v>350</v>
      </c>
      <c r="E42" s="388">
        <v>0.5</v>
      </c>
      <c r="F42" s="388"/>
      <c r="G42" s="388">
        <f>+C42*D42*E42</f>
        <v>175</v>
      </c>
      <c r="H42" s="388"/>
    </row>
    <row r="43" spans="1:8" x14ac:dyDescent="0.25">
      <c r="A43" s="397" t="s">
        <v>398</v>
      </c>
      <c r="B43" s="398"/>
      <c r="C43" s="125">
        <v>1</v>
      </c>
      <c r="D43" s="125">
        <v>350</v>
      </c>
      <c r="E43" s="388">
        <v>0.5</v>
      </c>
      <c r="F43" s="388"/>
      <c r="G43" s="388">
        <f>+C43*D43*E43</f>
        <v>175</v>
      </c>
      <c r="H43" s="388"/>
    </row>
    <row r="44" spans="1:8" x14ac:dyDescent="0.25">
      <c r="A44" s="122"/>
      <c r="B44" s="122"/>
      <c r="C44" s="387" t="s">
        <v>174</v>
      </c>
      <c r="D44" s="387"/>
      <c r="E44" s="387"/>
      <c r="F44" s="387"/>
      <c r="G44" s="388">
        <f>+SUM(G40:H43)</f>
        <v>2625</v>
      </c>
      <c r="H44" s="388"/>
    </row>
    <row r="46" spans="1:8" x14ac:dyDescent="0.25">
      <c r="A46" s="119" t="s">
        <v>255</v>
      </c>
    </row>
    <row r="47" spans="1:8" x14ac:dyDescent="0.25">
      <c r="A47" s="704" t="s">
        <v>187</v>
      </c>
      <c r="B47" s="704"/>
      <c r="C47" s="123" t="s">
        <v>188</v>
      </c>
      <c r="D47" s="124" t="s">
        <v>189</v>
      </c>
      <c r="E47" s="126" t="s">
        <v>190</v>
      </c>
      <c r="F47" s="127" t="s">
        <v>170</v>
      </c>
      <c r="G47" s="704" t="s">
        <v>171</v>
      </c>
      <c r="H47" s="704"/>
    </row>
    <row r="48" spans="1:8" x14ac:dyDescent="0.25">
      <c r="A48" s="397" t="s">
        <v>201</v>
      </c>
      <c r="B48" s="398"/>
      <c r="C48" s="128">
        <v>60000</v>
      </c>
      <c r="D48" s="322">
        <v>0.85</v>
      </c>
      <c r="E48" s="128">
        <f>+((C48*D48)+C48)</f>
        <v>111000</v>
      </c>
      <c r="F48" s="321">
        <v>10</v>
      </c>
      <c r="G48" s="388">
        <f>+E48/F48</f>
        <v>11100</v>
      </c>
      <c r="H48" s="388"/>
    </row>
    <row r="49" spans="1:8" x14ac:dyDescent="0.25">
      <c r="A49" s="705" t="s">
        <v>242</v>
      </c>
      <c r="B49" s="705"/>
      <c r="C49" s="128">
        <f>35000*6</f>
        <v>210000</v>
      </c>
      <c r="D49" s="322">
        <v>0.85</v>
      </c>
      <c r="E49" s="128">
        <f>+((C49*D49)+C49)</f>
        <v>388500</v>
      </c>
      <c r="F49" s="321">
        <v>10</v>
      </c>
      <c r="G49" s="388">
        <f>+E49/F49</f>
        <v>38850</v>
      </c>
      <c r="H49" s="388"/>
    </row>
    <row r="50" spans="1:8" x14ac:dyDescent="0.25">
      <c r="A50" s="705"/>
      <c r="B50" s="705"/>
      <c r="C50" s="128"/>
      <c r="D50" s="125"/>
      <c r="E50" s="128"/>
      <c r="F50" s="125"/>
      <c r="G50" s="388"/>
      <c r="H50" s="388"/>
    </row>
    <row r="51" spans="1:8" x14ac:dyDescent="0.25">
      <c r="A51" s="122"/>
      <c r="B51" s="122"/>
      <c r="C51" s="387" t="s">
        <v>174</v>
      </c>
      <c r="D51" s="387"/>
      <c r="E51" s="387"/>
      <c r="F51" s="387"/>
      <c r="G51" s="388">
        <f>+G48+G49+G50</f>
        <v>49950</v>
      </c>
      <c r="H51" s="388"/>
    </row>
    <row r="54" spans="1:8" x14ac:dyDescent="0.25">
      <c r="A54" s="382" t="s">
        <v>193</v>
      </c>
      <c r="B54" s="382"/>
      <c r="C54" s="382"/>
      <c r="D54" s="382"/>
      <c r="E54" s="382"/>
      <c r="F54" s="382"/>
      <c r="G54" s="783">
        <f>ROUND(G27+G36+G44+G51,0)</f>
        <v>480943</v>
      </c>
      <c r="H54" s="783"/>
    </row>
    <row r="55" spans="1:8" x14ac:dyDescent="0.25">
      <c r="G55" s="310">
        <f>+G54</f>
        <v>480943</v>
      </c>
    </row>
  </sheetData>
  <mergeCells count="92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C27:F27"/>
    <mergeCell ref="G27:H27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33:B33"/>
    <mergeCell ref="E33:F33"/>
    <mergeCell ref="G33:H33"/>
    <mergeCell ref="A40:B40"/>
    <mergeCell ref="E40:F40"/>
    <mergeCell ref="G40:H40"/>
    <mergeCell ref="A34:B34"/>
    <mergeCell ref="E34:F34"/>
    <mergeCell ref="G34:H34"/>
    <mergeCell ref="A35:B35"/>
    <mergeCell ref="E35:F35"/>
    <mergeCell ref="G35:H35"/>
    <mergeCell ref="C36:F36"/>
    <mergeCell ref="G36:H36"/>
    <mergeCell ref="A39:B39"/>
    <mergeCell ref="E39:F39"/>
    <mergeCell ref="G39:H39"/>
    <mergeCell ref="C44:F44"/>
    <mergeCell ref="G44:H44"/>
    <mergeCell ref="A47:B47"/>
    <mergeCell ref="G47:H47"/>
    <mergeCell ref="A42:B42"/>
    <mergeCell ref="E42:F42"/>
    <mergeCell ref="G42:H42"/>
    <mergeCell ref="C51:F51"/>
    <mergeCell ref="G51:H51"/>
    <mergeCell ref="A54:F54"/>
    <mergeCell ref="G54:H54"/>
    <mergeCell ref="A41:B41"/>
    <mergeCell ref="E41:F41"/>
    <mergeCell ref="G41:H41"/>
    <mergeCell ref="A48:B48"/>
    <mergeCell ref="G48:H48"/>
    <mergeCell ref="A49:B49"/>
    <mergeCell ref="G49:H49"/>
    <mergeCell ref="A50:B50"/>
    <mergeCell ref="G50:H50"/>
    <mergeCell ref="A43:B43"/>
    <mergeCell ref="E43:F43"/>
    <mergeCell ref="G43:H4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workbookViewId="0">
      <selection activeCell="G46" sqref="G46:H46"/>
    </sheetView>
  </sheetViews>
  <sheetFormatPr baseColWidth="10" defaultRowHeight="12.75" x14ac:dyDescent="0.2"/>
  <cols>
    <col min="1" max="2" width="9.28515625" style="77" customWidth="1"/>
    <col min="3" max="3" width="10.7109375" style="77" customWidth="1"/>
    <col min="4" max="4" width="12.140625" style="77" customWidth="1"/>
    <col min="5" max="6" width="11.42578125" style="77"/>
    <col min="7" max="7" width="11.5703125" style="77" customWidth="1"/>
    <col min="8" max="8" width="9.28515625" style="77" customWidth="1"/>
    <col min="9" max="256" width="11.42578125" style="77"/>
    <col min="257" max="258" width="9.28515625" style="77" customWidth="1"/>
    <col min="259" max="259" width="10.7109375" style="77" customWidth="1"/>
    <col min="260" max="260" width="12.140625" style="77" customWidth="1"/>
    <col min="261" max="262" width="11.42578125" style="77"/>
    <col min="263" max="264" width="9.28515625" style="77" customWidth="1"/>
    <col min="265" max="512" width="11.42578125" style="77"/>
    <col min="513" max="514" width="9.28515625" style="77" customWidth="1"/>
    <col min="515" max="515" width="10.7109375" style="77" customWidth="1"/>
    <col min="516" max="516" width="12.140625" style="77" customWidth="1"/>
    <col min="517" max="518" width="11.42578125" style="77"/>
    <col min="519" max="520" width="9.28515625" style="77" customWidth="1"/>
    <col min="521" max="768" width="11.42578125" style="77"/>
    <col min="769" max="770" width="9.28515625" style="77" customWidth="1"/>
    <col min="771" max="771" width="10.7109375" style="77" customWidth="1"/>
    <col min="772" max="772" width="12.140625" style="77" customWidth="1"/>
    <col min="773" max="774" width="11.42578125" style="77"/>
    <col min="775" max="776" width="9.28515625" style="77" customWidth="1"/>
    <col min="777" max="1024" width="11.42578125" style="77"/>
    <col min="1025" max="1026" width="9.28515625" style="77" customWidth="1"/>
    <col min="1027" max="1027" width="10.7109375" style="77" customWidth="1"/>
    <col min="1028" max="1028" width="12.140625" style="77" customWidth="1"/>
    <col min="1029" max="1030" width="11.42578125" style="77"/>
    <col min="1031" max="1032" width="9.28515625" style="77" customWidth="1"/>
    <col min="1033" max="1280" width="11.42578125" style="77"/>
    <col min="1281" max="1282" width="9.28515625" style="77" customWidth="1"/>
    <col min="1283" max="1283" width="10.7109375" style="77" customWidth="1"/>
    <col min="1284" max="1284" width="12.140625" style="77" customWidth="1"/>
    <col min="1285" max="1286" width="11.42578125" style="77"/>
    <col min="1287" max="1288" width="9.28515625" style="77" customWidth="1"/>
    <col min="1289" max="1536" width="11.42578125" style="77"/>
    <col min="1537" max="1538" width="9.28515625" style="77" customWidth="1"/>
    <col min="1539" max="1539" width="10.7109375" style="77" customWidth="1"/>
    <col min="1540" max="1540" width="12.140625" style="77" customWidth="1"/>
    <col min="1541" max="1542" width="11.42578125" style="77"/>
    <col min="1543" max="1544" width="9.28515625" style="77" customWidth="1"/>
    <col min="1545" max="1792" width="11.42578125" style="77"/>
    <col min="1793" max="1794" width="9.28515625" style="77" customWidth="1"/>
    <col min="1795" max="1795" width="10.7109375" style="77" customWidth="1"/>
    <col min="1796" max="1796" width="12.140625" style="77" customWidth="1"/>
    <col min="1797" max="1798" width="11.42578125" style="77"/>
    <col min="1799" max="1800" width="9.28515625" style="77" customWidth="1"/>
    <col min="1801" max="2048" width="11.42578125" style="77"/>
    <col min="2049" max="2050" width="9.28515625" style="77" customWidth="1"/>
    <col min="2051" max="2051" width="10.7109375" style="77" customWidth="1"/>
    <col min="2052" max="2052" width="12.140625" style="77" customWidth="1"/>
    <col min="2053" max="2054" width="11.42578125" style="77"/>
    <col min="2055" max="2056" width="9.28515625" style="77" customWidth="1"/>
    <col min="2057" max="2304" width="11.42578125" style="77"/>
    <col min="2305" max="2306" width="9.28515625" style="77" customWidth="1"/>
    <col min="2307" max="2307" width="10.7109375" style="77" customWidth="1"/>
    <col min="2308" max="2308" width="12.140625" style="77" customWidth="1"/>
    <col min="2309" max="2310" width="11.42578125" style="77"/>
    <col min="2311" max="2312" width="9.28515625" style="77" customWidth="1"/>
    <col min="2313" max="2560" width="11.42578125" style="77"/>
    <col min="2561" max="2562" width="9.28515625" style="77" customWidth="1"/>
    <col min="2563" max="2563" width="10.7109375" style="77" customWidth="1"/>
    <col min="2564" max="2564" width="12.140625" style="77" customWidth="1"/>
    <col min="2565" max="2566" width="11.42578125" style="77"/>
    <col min="2567" max="2568" width="9.28515625" style="77" customWidth="1"/>
    <col min="2569" max="2816" width="11.42578125" style="77"/>
    <col min="2817" max="2818" width="9.28515625" style="77" customWidth="1"/>
    <col min="2819" max="2819" width="10.7109375" style="77" customWidth="1"/>
    <col min="2820" max="2820" width="12.140625" style="77" customWidth="1"/>
    <col min="2821" max="2822" width="11.42578125" style="77"/>
    <col min="2823" max="2824" width="9.28515625" style="77" customWidth="1"/>
    <col min="2825" max="3072" width="11.42578125" style="77"/>
    <col min="3073" max="3074" width="9.28515625" style="77" customWidth="1"/>
    <col min="3075" max="3075" width="10.7109375" style="77" customWidth="1"/>
    <col min="3076" max="3076" width="12.140625" style="77" customWidth="1"/>
    <col min="3077" max="3078" width="11.42578125" style="77"/>
    <col min="3079" max="3080" width="9.28515625" style="77" customWidth="1"/>
    <col min="3081" max="3328" width="11.42578125" style="77"/>
    <col min="3329" max="3330" width="9.28515625" style="77" customWidth="1"/>
    <col min="3331" max="3331" width="10.7109375" style="77" customWidth="1"/>
    <col min="3332" max="3332" width="12.140625" style="77" customWidth="1"/>
    <col min="3333" max="3334" width="11.42578125" style="77"/>
    <col min="3335" max="3336" width="9.28515625" style="77" customWidth="1"/>
    <col min="3337" max="3584" width="11.42578125" style="77"/>
    <col min="3585" max="3586" width="9.28515625" style="77" customWidth="1"/>
    <col min="3587" max="3587" width="10.7109375" style="77" customWidth="1"/>
    <col min="3588" max="3588" width="12.140625" style="77" customWidth="1"/>
    <col min="3589" max="3590" width="11.42578125" style="77"/>
    <col min="3591" max="3592" width="9.28515625" style="77" customWidth="1"/>
    <col min="3593" max="3840" width="11.42578125" style="77"/>
    <col min="3841" max="3842" width="9.28515625" style="77" customWidth="1"/>
    <col min="3843" max="3843" width="10.7109375" style="77" customWidth="1"/>
    <col min="3844" max="3844" width="12.140625" style="77" customWidth="1"/>
    <col min="3845" max="3846" width="11.42578125" style="77"/>
    <col min="3847" max="3848" width="9.28515625" style="77" customWidth="1"/>
    <col min="3849" max="4096" width="11.42578125" style="77"/>
    <col min="4097" max="4098" width="9.28515625" style="77" customWidth="1"/>
    <col min="4099" max="4099" width="10.7109375" style="77" customWidth="1"/>
    <col min="4100" max="4100" width="12.140625" style="77" customWidth="1"/>
    <col min="4101" max="4102" width="11.42578125" style="77"/>
    <col min="4103" max="4104" width="9.28515625" style="77" customWidth="1"/>
    <col min="4105" max="4352" width="11.42578125" style="77"/>
    <col min="4353" max="4354" width="9.28515625" style="77" customWidth="1"/>
    <col min="4355" max="4355" width="10.7109375" style="77" customWidth="1"/>
    <col min="4356" max="4356" width="12.140625" style="77" customWidth="1"/>
    <col min="4357" max="4358" width="11.42578125" style="77"/>
    <col min="4359" max="4360" width="9.28515625" style="77" customWidth="1"/>
    <col min="4361" max="4608" width="11.42578125" style="77"/>
    <col min="4609" max="4610" width="9.28515625" style="77" customWidth="1"/>
    <col min="4611" max="4611" width="10.7109375" style="77" customWidth="1"/>
    <col min="4612" max="4612" width="12.140625" style="77" customWidth="1"/>
    <col min="4613" max="4614" width="11.42578125" style="77"/>
    <col min="4615" max="4616" width="9.28515625" style="77" customWidth="1"/>
    <col min="4617" max="4864" width="11.42578125" style="77"/>
    <col min="4865" max="4866" width="9.28515625" style="77" customWidth="1"/>
    <col min="4867" max="4867" width="10.7109375" style="77" customWidth="1"/>
    <col min="4868" max="4868" width="12.140625" style="77" customWidth="1"/>
    <col min="4869" max="4870" width="11.42578125" style="77"/>
    <col min="4871" max="4872" width="9.28515625" style="77" customWidth="1"/>
    <col min="4873" max="5120" width="11.42578125" style="77"/>
    <col min="5121" max="5122" width="9.28515625" style="77" customWidth="1"/>
    <col min="5123" max="5123" width="10.7109375" style="77" customWidth="1"/>
    <col min="5124" max="5124" width="12.140625" style="77" customWidth="1"/>
    <col min="5125" max="5126" width="11.42578125" style="77"/>
    <col min="5127" max="5128" width="9.28515625" style="77" customWidth="1"/>
    <col min="5129" max="5376" width="11.42578125" style="77"/>
    <col min="5377" max="5378" width="9.28515625" style="77" customWidth="1"/>
    <col min="5379" max="5379" width="10.7109375" style="77" customWidth="1"/>
    <col min="5380" max="5380" width="12.140625" style="77" customWidth="1"/>
    <col min="5381" max="5382" width="11.42578125" style="77"/>
    <col min="5383" max="5384" width="9.28515625" style="77" customWidth="1"/>
    <col min="5385" max="5632" width="11.42578125" style="77"/>
    <col min="5633" max="5634" width="9.28515625" style="77" customWidth="1"/>
    <col min="5635" max="5635" width="10.7109375" style="77" customWidth="1"/>
    <col min="5636" max="5636" width="12.140625" style="77" customWidth="1"/>
    <col min="5637" max="5638" width="11.42578125" style="77"/>
    <col min="5639" max="5640" width="9.28515625" style="77" customWidth="1"/>
    <col min="5641" max="5888" width="11.42578125" style="77"/>
    <col min="5889" max="5890" width="9.28515625" style="77" customWidth="1"/>
    <col min="5891" max="5891" width="10.7109375" style="77" customWidth="1"/>
    <col min="5892" max="5892" width="12.140625" style="77" customWidth="1"/>
    <col min="5893" max="5894" width="11.42578125" style="77"/>
    <col min="5895" max="5896" width="9.28515625" style="77" customWidth="1"/>
    <col min="5897" max="6144" width="11.42578125" style="77"/>
    <col min="6145" max="6146" width="9.28515625" style="77" customWidth="1"/>
    <col min="6147" max="6147" width="10.7109375" style="77" customWidth="1"/>
    <col min="6148" max="6148" width="12.140625" style="77" customWidth="1"/>
    <col min="6149" max="6150" width="11.42578125" style="77"/>
    <col min="6151" max="6152" width="9.28515625" style="77" customWidth="1"/>
    <col min="6153" max="6400" width="11.42578125" style="77"/>
    <col min="6401" max="6402" width="9.28515625" style="77" customWidth="1"/>
    <col min="6403" max="6403" width="10.7109375" style="77" customWidth="1"/>
    <col min="6404" max="6404" width="12.140625" style="77" customWidth="1"/>
    <col min="6405" max="6406" width="11.42578125" style="77"/>
    <col min="6407" max="6408" width="9.28515625" style="77" customWidth="1"/>
    <col min="6409" max="6656" width="11.42578125" style="77"/>
    <col min="6657" max="6658" width="9.28515625" style="77" customWidth="1"/>
    <col min="6659" max="6659" width="10.7109375" style="77" customWidth="1"/>
    <col min="6660" max="6660" width="12.140625" style="77" customWidth="1"/>
    <col min="6661" max="6662" width="11.42578125" style="77"/>
    <col min="6663" max="6664" width="9.28515625" style="77" customWidth="1"/>
    <col min="6665" max="6912" width="11.42578125" style="77"/>
    <col min="6913" max="6914" width="9.28515625" style="77" customWidth="1"/>
    <col min="6915" max="6915" width="10.7109375" style="77" customWidth="1"/>
    <col min="6916" max="6916" width="12.140625" style="77" customWidth="1"/>
    <col min="6917" max="6918" width="11.42578125" style="77"/>
    <col min="6919" max="6920" width="9.28515625" style="77" customWidth="1"/>
    <col min="6921" max="7168" width="11.42578125" style="77"/>
    <col min="7169" max="7170" width="9.28515625" style="77" customWidth="1"/>
    <col min="7171" max="7171" width="10.7109375" style="77" customWidth="1"/>
    <col min="7172" max="7172" width="12.140625" style="77" customWidth="1"/>
    <col min="7173" max="7174" width="11.42578125" style="77"/>
    <col min="7175" max="7176" width="9.28515625" style="77" customWidth="1"/>
    <col min="7177" max="7424" width="11.42578125" style="77"/>
    <col min="7425" max="7426" width="9.28515625" style="77" customWidth="1"/>
    <col min="7427" max="7427" width="10.7109375" style="77" customWidth="1"/>
    <col min="7428" max="7428" width="12.140625" style="77" customWidth="1"/>
    <col min="7429" max="7430" width="11.42578125" style="77"/>
    <col min="7431" max="7432" width="9.28515625" style="77" customWidth="1"/>
    <col min="7433" max="7680" width="11.42578125" style="77"/>
    <col min="7681" max="7682" width="9.28515625" style="77" customWidth="1"/>
    <col min="7683" max="7683" width="10.7109375" style="77" customWidth="1"/>
    <col min="7684" max="7684" width="12.140625" style="77" customWidth="1"/>
    <col min="7685" max="7686" width="11.42578125" style="77"/>
    <col min="7687" max="7688" width="9.28515625" style="77" customWidth="1"/>
    <col min="7689" max="7936" width="11.42578125" style="77"/>
    <col min="7937" max="7938" width="9.28515625" style="77" customWidth="1"/>
    <col min="7939" max="7939" width="10.7109375" style="77" customWidth="1"/>
    <col min="7940" max="7940" width="12.140625" style="77" customWidth="1"/>
    <col min="7941" max="7942" width="11.42578125" style="77"/>
    <col min="7943" max="7944" width="9.28515625" style="77" customWidth="1"/>
    <col min="7945" max="8192" width="11.42578125" style="77"/>
    <col min="8193" max="8194" width="9.28515625" style="77" customWidth="1"/>
    <col min="8195" max="8195" width="10.7109375" style="77" customWidth="1"/>
    <col min="8196" max="8196" width="12.140625" style="77" customWidth="1"/>
    <col min="8197" max="8198" width="11.42578125" style="77"/>
    <col min="8199" max="8200" width="9.28515625" style="77" customWidth="1"/>
    <col min="8201" max="8448" width="11.42578125" style="77"/>
    <col min="8449" max="8450" width="9.28515625" style="77" customWidth="1"/>
    <col min="8451" max="8451" width="10.7109375" style="77" customWidth="1"/>
    <col min="8452" max="8452" width="12.140625" style="77" customWidth="1"/>
    <col min="8453" max="8454" width="11.42578125" style="77"/>
    <col min="8455" max="8456" width="9.28515625" style="77" customWidth="1"/>
    <col min="8457" max="8704" width="11.42578125" style="77"/>
    <col min="8705" max="8706" width="9.28515625" style="77" customWidth="1"/>
    <col min="8707" max="8707" width="10.7109375" style="77" customWidth="1"/>
    <col min="8708" max="8708" width="12.140625" style="77" customWidth="1"/>
    <col min="8709" max="8710" width="11.42578125" style="77"/>
    <col min="8711" max="8712" width="9.28515625" style="77" customWidth="1"/>
    <col min="8713" max="8960" width="11.42578125" style="77"/>
    <col min="8961" max="8962" width="9.28515625" style="77" customWidth="1"/>
    <col min="8963" max="8963" width="10.7109375" style="77" customWidth="1"/>
    <col min="8964" max="8964" width="12.140625" style="77" customWidth="1"/>
    <col min="8965" max="8966" width="11.42578125" style="77"/>
    <col min="8967" max="8968" width="9.28515625" style="77" customWidth="1"/>
    <col min="8969" max="9216" width="11.42578125" style="77"/>
    <col min="9217" max="9218" width="9.28515625" style="77" customWidth="1"/>
    <col min="9219" max="9219" width="10.7109375" style="77" customWidth="1"/>
    <col min="9220" max="9220" width="12.140625" style="77" customWidth="1"/>
    <col min="9221" max="9222" width="11.42578125" style="77"/>
    <col min="9223" max="9224" width="9.28515625" style="77" customWidth="1"/>
    <col min="9225" max="9472" width="11.42578125" style="77"/>
    <col min="9473" max="9474" width="9.28515625" style="77" customWidth="1"/>
    <col min="9475" max="9475" width="10.7109375" style="77" customWidth="1"/>
    <col min="9476" max="9476" width="12.140625" style="77" customWidth="1"/>
    <col min="9477" max="9478" width="11.42578125" style="77"/>
    <col min="9479" max="9480" width="9.28515625" style="77" customWidth="1"/>
    <col min="9481" max="9728" width="11.42578125" style="77"/>
    <col min="9729" max="9730" width="9.28515625" style="77" customWidth="1"/>
    <col min="9731" max="9731" width="10.7109375" style="77" customWidth="1"/>
    <col min="9732" max="9732" width="12.140625" style="77" customWidth="1"/>
    <col min="9733" max="9734" width="11.42578125" style="77"/>
    <col min="9735" max="9736" width="9.28515625" style="77" customWidth="1"/>
    <col min="9737" max="9984" width="11.42578125" style="77"/>
    <col min="9985" max="9986" width="9.28515625" style="77" customWidth="1"/>
    <col min="9987" max="9987" width="10.7109375" style="77" customWidth="1"/>
    <col min="9988" max="9988" width="12.140625" style="77" customWidth="1"/>
    <col min="9989" max="9990" width="11.42578125" style="77"/>
    <col min="9991" max="9992" width="9.28515625" style="77" customWidth="1"/>
    <col min="9993" max="10240" width="11.42578125" style="77"/>
    <col min="10241" max="10242" width="9.28515625" style="77" customWidth="1"/>
    <col min="10243" max="10243" width="10.7109375" style="77" customWidth="1"/>
    <col min="10244" max="10244" width="12.140625" style="77" customWidth="1"/>
    <col min="10245" max="10246" width="11.42578125" style="77"/>
    <col min="10247" max="10248" width="9.28515625" style="77" customWidth="1"/>
    <col min="10249" max="10496" width="11.42578125" style="77"/>
    <col min="10497" max="10498" width="9.28515625" style="77" customWidth="1"/>
    <col min="10499" max="10499" width="10.7109375" style="77" customWidth="1"/>
    <col min="10500" max="10500" width="12.140625" style="77" customWidth="1"/>
    <col min="10501" max="10502" width="11.42578125" style="77"/>
    <col min="10503" max="10504" width="9.28515625" style="77" customWidth="1"/>
    <col min="10505" max="10752" width="11.42578125" style="77"/>
    <col min="10753" max="10754" width="9.28515625" style="77" customWidth="1"/>
    <col min="10755" max="10755" width="10.7109375" style="77" customWidth="1"/>
    <col min="10756" max="10756" width="12.140625" style="77" customWidth="1"/>
    <col min="10757" max="10758" width="11.42578125" style="77"/>
    <col min="10759" max="10760" width="9.28515625" style="77" customWidth="1"/>
    <col min="10761" max="11008" width="11.42578125" style="77"/>
    <col min="11009" max="11010" width="9.28515625" style="77" customWidth="1"/>
    <col min="11011" max="11011" width="10.7109375" style="77" customWidth="1"/>
    <col min="11012" max="11012" width="12.140625" style="77" customWidth="1"/>
    <col min="11013" max="11014" width="11.42578125" style="77"/>
    <col min="11015" max="11016" width="9.28515625" style="77" customWidth="1"/>
    <col min="11017" max="11264" width="11.42578125" style="77"/>
    <col min="11265" max="11266" width="9.28515625" style="77" customWidth="1"/>
    <col min="11267" max="11267" width="10.7109375" style="77" customWidth="1"/>
    <col min="11268" max="11268" width="12.140625" style="77" customWidth="1"/>
    <col min="11269" max="11270" width="11.42578125" style="77"/>
    <col min="11271" max="11272" width="9.28515625" style="77" customWidth="1"/>
    <col min="11273" max="11520" width="11.42578125" style="77"/>
    <col min="11521" max="11522" width="9.28515625" style="77" customWidth="1"/>
    <col min="11523" max="11523" width="10.7109375" style="77" customWidth="1"/>
    <col min="11524" max="11524" width="12.140625" style="77" customWidth="1"/>
    <col min="11525" max="11526" width="11.42578125" style="77"/>
    <col min="11527" max="11528" width="9.28515625" style="77" customWidth="1"/>
    <col min="11529" max="11776" width="11.42578125" style="77"/>
    <col min="11777" max="11778" width="9.28515625" style="77" customWidth="1"/>
    <col min="11779" max="11779" width="10.7109375" style="77" customWidth="1"/>
    <col min="11780" max="11780" width="12.140625" style="77" customWidth="1"/>
    <col min="11781" max="11782" width="11.42578125" style="77"/>
    <col min="11783" max="11784" width="9.28515625" style="77" customWidth="1"/>
    <col min="11785" max="12032" width="11.42578125" style="77"/>
    <col min="12033" max="12034" width="9.28515625" style="77" customWidth="1"/>
    <col min="12035" max="12035" width="10.7109375" style="77" customWidth="1"/>
    <col min="12036" max="12036" width="12.140625" style="77" customWidth="1"/>
    <col min="12037" max="12038" width="11.42578125" style="77"/>
    <col min="12039" max="12040" width="9.28515625" style="77" customWidth="1"/>
    <col min="12041" max="12288" width="11.42578125" style="77"/>
    <col min="12289" max="12290" width="9.28515625" style="77" customWidth="1"/>
    <col min="12291" max="12291" width="10.7109375" style="77" customWidth="1"/>
    <col min="12292" max="12292" width="12.140625" style="77" customWidth="1"/>
    <col min="12293" max="12294" width="11.42578125" style="77"/>
    <col min="12295" max="12296" width="9.28515625" style="77" customWidth="1"/>
    <col min="12297" max="12544" width="11.42578125" style="77"/>
    <col min="12545" max="12546" width="9.28515625" style="77" customWidth="1"/>
    <col min="12547" max="12547" width="10.7109375" style="77" customWidth="1"/>
    <col min="12548" max="12548" width="12.140625" style="77" customWidth="1"/>
    <col min="12549" max="12550" width="11.42578125" style="77"/>
    <col min="12551" max="12552" width="9.28515625" style="77" customWidth="1"/>
    <col min="12553" max="12800" width="11.42578125" style="77"/>
    <col min="12801" max="12802" width="9.28515625" style="77" customWidth="1"/>
    <col min="12803" max="12803" width="10.7109375" style="77" customWidth="1"/>
    <col min="12804" max="12804" width="12.140625" style="77" customWidth="1"/>
    <col min="12805" max="12806" width="11.42578125" style="77"/>
    <col min="12807" max="12808" width="9.28515625" style="77" customWidth="1"/>
    <col min="12809" max="13056" width="11.42578125" style="77"/>
    <col min="13057" max="13058" width="9.28515625" style="77" customWidth="1"/>
    <col min="13059" max="13059" width="10.7109375" style="77" customWidth="1"/>
    <col min="13060" max="13060" width="12.140625" style="77" customWidth="1"/>
    <col min="13061" max="13062" width="11.42578125" style="77"/>
    <col min="13063" max="13064" width="9.28515625" style="77" customWidth="1"/>
    <col min="13065" max="13312" width="11.42578125" style="77"/>
    <col min="13313" max="13314" width="9.28515625" style="77" customWidth="1"/>
    <col min="13315" max="13315" width="10.7109375" style="77" customWidth="1"/>
    <col min="13316" max="13316" width="12.140625" style="77" customWidth="1"/>
    <col min="13317" max="13318" width="11.42578125" style="77"/>
    <col min="13319" max="13320" width="9.28515625" style="77" customWidth="1"/>
    <col min="13321" max="13568" width="11.42578125" style="77"/>
    <col min="13569" max="13570" width="9.28515625" style="77" customWidth="1"/>
    <col min="13571" max="13571" width="10.7109375" style="77" customWidth="1"/>
    <col min="13572" max="13572" width="12.140625" style="77" customWidth="1"/>
    <col min="13573" max="13574" width="11.42578125" style="77"/>
    <col min="13575" max="13576" width="9.28515625" style="77" customWidth="1"/>
    <col min="13577" max="13824" width="11.42578125" style="77"/>
    <col min="13825" max="13826" width="9.28515625" style="77" customWidth="1"/>
    <col min="13827" max="13827" width="10.7109375" style="77" customWidth="1"/>
    <col min="13828" max="13828" width="12.140625" style="77" customWidth="1"/>
    <col min="13829" max="13830" width="11.42578125" style="77"/>
    <col min="13831" max="13832" width="9.28515625" style="77" customWidth="1"/>
    <col min="13833" max="14080" width="11.42578125" style="77"/>
    <col min="14081" max="14082" width="9.28515625" style="77" customWidth="1"/>
    <col min="14083" max="14083" width="10.7109375" style="77" customWidth="1"/>
    <col min="14084" max="14084" width="12.140625" style="77" customWidth="1"/>
    <col min="14085" max="14086" width="11.42578125" style="77"/>
    <col min="14087" max="14088" width="9.28515625" style="77" customWidth="1"/>
    <col min="14089" max="14336" width="11.42578125" style="77"/>
    <col min="14337" max="14338" width="9.28515625" style="77" customWidth="1"/>
    <col min="14339" max="14339" width="10.7109375" style="77" customWidth="1"/>
    <col min="14340" max="14340" width="12.140625" style="77" customWidth="1"/>
    <col min="14341" max="14342" width="11.42578125" style="77"/>
    <col min="14343" max="14344" width="9.28515625" style="77" customWidth="1"/>
    <col min="14345" max="14592" width="11.42578125" style="77"/>
    <col min="14593" max="14594" width="9.28515625" style="77" customWidth="1"/>
    <col min="14595" max="14595" width="10.7109375" style="77" customWidth="1"/>
    <col min="14596" max="14596" width="12.140625" style="77" customWidth="1"/>
    <col min="14597" max="14598" width="11.42578125" style="77"/>
    <col min="14599" max="14600" width="9.28515625" style="77" customWidth="1"/>
    <col min="14601" max="14848" width="11.42578125" style="77"/>
    <col min="14849" max="14850" width="9.28515625" style="77" customWidth="1"/>
    <col min="14851" max="14851" width="10.7109375" style="77" customWidth="1"/>
    <col min="14852" max="14852" width="12.140625" style="77" customWidth="1"/>
    <col min="14853" max="14854" width="11.42578125" style="77"/>
    <col min="14855" max="14856" width="9.28515625" style="77" customWidth="1"/>
    <col min="14857" max="15104" width="11.42578125" style="77"/>
    <col min="15105" max="15106" width="9.28515625" style="77" customWidth="1"/>
    <col min="15107" max="15107" width="10.7109375" style="77" customWidth="1"/>
    <col min="15108" max="15108" width="12.140625" style="77" customWidth="1"/>
    <col min="15109" max="15110" width="11.42578125" style="77"/>
    <col min="15111" max="15112" width="9.28515625" style="77" customWidth="1"/>
    <col min="15113" max="15360" width="11.42578125" style="77"/>
    <col min="15361" max="15362" width="9.28515625" style="77" customWidth="1"/>
    <col min="15363" max="15363" width="10.7109375" style="77" customWidth="1"/>
    <col min="15364" max="15364" width="12.140625" style="77" customWidth="1"/>
    <col min="15365" max="15366" width="11.42578125" style="77"/>
    <col min="15367" max="15368" width="9.28515625" style="77" customWidth="1"/>
    <col min="15369" max="15616" width="11.42578125" style="77"/>
    <col min="15617" max="15618" width="9.28515625" style="77" customWidth="1"/>
    <col min="15619" max="15619" width="10.7109375" style="77" customWidth="1"/>
    <col min="15620" max="15620" width="12.140625" style="77" customWidth="1"/>
    <col min="15621" max="15622" width="11.42578125" style="77"/>
    <col min="15623" max="15624" width="9.28515625" style="77" customWidth="1"/>
    <col min="15625" max="15872" width="11.42578125" style="77"/>
    <col min="15873" max="15874" width="9.28515625" style="77" customWidth="1"/>
    <col min="15875" max="15875" width="10.7109375" style="77" customWidth="1"/>
    <col min="15876" max="15876" width="12.140625" style="77" customWidth="1"/>
    <col min="15877" max="15878" width="11.42578125" style="77"/>
    <col min="15879" max="15880" width="9.28515625" style="77" customWidth="1"/>
    <col min="15881" max="16128" width="11.42578125" style="77"/>
    <col min="16129" max="16130" width="9.28515625" style="77" customWidth="1"/>
    <col min="16131" max="16131" width="10.7109375" style="77" customWidth="1"/>
    <col min="16132" max="16132" width="12.140625" style="77" customWidth="1"/>
    <col min="16133" max="16134" width="11.42578125" style="77"/>
    <col min="16135" max="16136" width="9.28515625" style="77" customWidth="1"/>
    <col min="16137" max="16384" width="11.42578125" style="77"/>
  </cols>
  <sheetData>
    <row r="1" spans="1:8" ht="18" x14ac:dyDescent="0.2">
      <c r="A1" s="470"/>
      <c r="B1" s="471"/>
      <c r="C1" s="476" t="s">
        <v>160</v>
      </c>
      <c r="D1" s="477"/>
      <c r="E1" s="477"/>
      <c r="F1" s="478"/>
      <c r="G1" s="470"/>
      <c r="H1" s="471"/>
    </row>
    <row r="2" spans="1:8" x14ac:dyDescent="0.2">
      <c r="A2" s="472"/>
      <c r="B2" s="473"/>
      <c r="C2" s="479" t="s">
        <v>85</v>
      </c>
      <c r="D2" s="480"/>
      <c r="E2" s="480"/>
      <c r="F2" s="481"/>
      <c r="G2" s="472"/>
      <c r="H2" s="473"/>
    </row>
    <row r="3" spans="1:8" x14ac:dyDescent="0.2">
      <c r="A3" s="472"/>
      <c r="B3" s="473"/>
      <c r="C3" s="78"/>
      <c r="D3" s="79"/>
      <c r="E3" s="79"/>
      <c r="F3" s="80"/>
      <c r="G3" s="472"/>
      <c r="H3" s="473"/>
    </row>
    <row r="4" spans="1:8" x14ac:dyDescent="0.2">
      <c r="A4" s="472"/>
      <c r="B4" s="473"/>
      <c r="C4" s="479" t="s">
        <v>161</v>
      </c>
      <c r="D4" s="480"/>
      <c r="E4" s="480"/>
      <c r="F4" s="481"/>
      <c r="G4" s="472"/>
      <c r="H4" s="473"/>
    </row>
    <row r="5" spans="1:8" x14ac:dyDescent="0.2">
      <c r="A5" s="472"/>
      <c r="B5" s="473"/>
      <c r="C5" s="479" t="s">
        <v>162</v>
      </c>
      <c r="D5" s="480"/>
      <c r="E5" s="480"/>
      <c r="F5" s="481"/>
      <c r="G5" s="472"/>
      <c r="H5" s="473"/>
    </row>
    <row r="6" spans="1:8" ht="13.5" thickBot="1" x14ac:dyDescent="0.25">
      <c r="A6" s="474"/>
      <c r="B6" s="475"/>
      <c r="C6" s="81"/>
      <c r="D6" s="82"/>
      <c r="E6" s="82"/>
      <c r="F6" s="83"/>
      <c r="G6" s="474"/>
      <c r="H6" s="475"/>
    </row>
    <row r="8" spans="1:8" ht="13.5" thickBot="1" x14ac:dyDescent="0.25">
      <c r="A8" s="459" t="s">
        <v>163</v>
      </c>
      <c r="B8" s="459"/>
      <c r="C8" s="459"/>
      <c r="D8" s="459"/>
      <c r="E8" s="459"/>
      <c r="F8" s="459"/>
      <c r="G8" s="459"/>
      <c r="H8" s="459"/>
    </row>
    <row r="9" spans="1:8" ht="13.5" thickBot="1" x14ac:dyDescent="0.25">
      <c r="A9" s="84"/>
      <c r="B9" s="84"/>
      <c r="C9" s="84"/>
      <c r="D9" s="84"/>
      <c r="E9" s="84"/>
      <c r="F9" s="84"/>
      <c r="G9" s="405" t="s">
        <v>259</v>
      </c>
      <c r="H9" s="406"/>
    </row>
    <row r="10" spans="1:8" ht="13.5" thickBot="1" x14ac:dyDescent="0.25"/>
    <row r="11" spans="1:8" ht="66.75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ht="12.7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ht="13.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ht="13.5" thickBot="1" x14ac:dyDescent="0.25">
      <c r="A14" s="85"/>
    </row>
    <row r="15" spans="1:8" x14ac:dyDescent="0.2">
      <c r="A15" s="460" t="s">
        <v>194</v>
      </c>
      <c r="B15" s="462" t="s">
        <v>260</v>
      </c>
      <c r="C15" s="463"/>
      <c r="D15" s="463"/>
      <c r="E15" s="463"/>
      <c r="F15" s="464"/>
      <c r="G15" s="460" t="s">
        <v>166</v>
      </c>
      <c r="H15" s="468" t="s">
        <v>102</v>
      </c>
    </row>
    <row r="16" spans="1:8" ht="13.5" thickBot="1" x14ac:dyDescent="0.25">
      <c r="A16" s="461"/>
      <c r="B16" s="465"/>
      <c r="C16" s="466"/>
      <c r="D16" s="466"/>
      <c r="E16" s="466"/>
      <c r="F16" s="467"/>
      <c r="G16" s="461"/>
      <c r="H16" s="469"/>
    </row>
    <row r="17" spans="1:8" x14ac:dyDescent="0.2">
      <c r="A17" s="86" t="s">
        <v>168</v>
      </c>
    </row>
    <row r="18" spans="1:8" x14ac:dyDescent="0.2">
      <c r="A18" s="445" t="s">
        <v>1</v>
      </c>
      <c r="B18" s="445"/>
      <c r="C18" s="445" t="s">
        <v>169</v>
      </c>
      <c r="D18" s="445"/>
      <c r="E18" s="445" t="s">
        <v>170</v>
      </c>
      <c r="F18" s="445"/>
      <c r="G18" s="445" t="s">
        <v>171</v>
      </c>
      <c r="H18" s="445"/>
    </row>
    <row r="19" spans="1:8" x14ac:dyDescent="0.2">
      <c r="A19" s="446" t="s">
        <v>195</v>
      </c>
      <c r="B19" s="447"/>
      <c r="C19" s="441">
        <v>45000</v>
      </c>
      <c r="D19" s="441"/>
      <c r="E19" s="458">
        <v>100</v>
      </c>
      <c r="F19" s="458"/>
      <c r="G19" s="441">
        <f>+C19/E19</f>
        <v>450</v>
      </c>
      <c r="H19" s="441"/>
    </row>
    <row r="20" spans="1:8" ht="27" customHeight="1" x14ac:dyDescent="0.2">
      <c r="A20" s="393" t="s">
        <v>196</v>
      </c>
      <c r="B20" s="394"/>
      <c r="C20" s="380">
        <v>85000</v>
      </c>
      <c r="D20" s="380"/>
      <c r="E20" s="457">
        <v>100</v>
      </c>
      <c r="F20" s="457"/>
      <c r="G20" s="380">
        <f>+C20/E20</f>
        <v>850</v>
      </c>
      <c r="H20" s="380"/>
    </row>
    <row r="21" spans="1:8" ht="36" customHeight="1" x14ac:dyDescent="0.2">
      <c r="A21" s="393" t="s">
        <v>197</v>
      </c>
      <c r="B21" s="394"/>
      <c r="C21" s="391">
        <v>130000</v>
      </c>
      <c r="D21" s="392"/>
      <c r="E21" s="457">
        <v>100</v>
      </c>
      <c r="F21" s="457"/>
      <c r="G21" s="380">
        <f>+C21/E21</f>
        <v>1300</v>
      </c>
      <c r="H21" s="380"/>
    </row>
    <row r="22" spans="1:8" x14ac:dyDescent="0.2">
      <c r="A22" s="446" t="s">
        <v>173</v>
      </c>
      <c r="B22" s="447"/>
      <c r="C22" s="441"/>
      <c r="D22" s="441"/>
      <c r="E22" s="455">
        <v>0.1</v>
      </c>
      <c r="F22" s="456"/>
      <c r="G22" s="441">
        <f>+E22*G43</f>
        <v>758.5</v>
      </c>
      <c r="H22" s="441"/>
    </row>
    <row r="23" spans="1:8" x14ac:dyDescent="0.2">
      <c r="A23" s="87"/>
      <c r="B23" s="87"/>
      <c r="C23" s="442" t="s">
        <v>174</v>
      </c>
      <c r="D23" s="442"/>
      <c r="E23" s="442"/>
      <c r="F23" s="442"/>
      <c r="G23" s="441">
        <f>SUM(G19:H22)</f>
        <v>3358.5</v>
      </c>
      <c r="H23" s="441"/>
    </row>
    <row r="24" spans="1:8" x14ac:dyDescent="0.2">
      <c r="C24" s="88"/>
      <c r="D24" s="88"/>
      <c r="E24" s="88"/>
      <c r="F24" s="88"/>
      <c r="G24" s="89"/>
      <c r="H24" s="89"/>
    </row>
    <row r="25" spans="1:8" x14ac:dyDescent="0.2">
      <c r="A25" s="86" t="s">
        <v>175</v>
      </c>
      <c r="B25" s="87"/>
      <c r="C25" s="87"/>
      <c r="D25" s="87"/>
      <c r="E25" s="87"/>
      <c r="F25" s="87"/>
      <c r="G25" s="87"/>
      <c r="H25" s="87"/>
    </row>
    <row r="26" spans="1:8" x14ac:dyDescent="0.2">
      <c r="A26" s="445" t="s">
        <v>1</v>
      </c>
      <c r="B26" s="445"/>
      <c r="C26" s="90" t="s">
        <v>176</v>
      </c>
      <c r="D26" s="90" t="s">
        <v>177</v>
      </c>
      <c r="E26" s="445" t="s">
        <v>3</v>
      </c>
      <c r="F26" s="445"/>
      <c r="G26" s="445" t="s">
        <v>171</v>
      </c>
      <c r="H26" s="445"/>
    </row>
    <row r="27" spans="1:8" x14ac:dyDescent="0.2">
      <c r="A27" s="446" t="s">
        <v>198</v>
      </c>
      <c r="B27" s="447"/>
      <c r="C27" s="91" t="s">
        <v>199</v>
      </c>
      <c r="D27" s="91">
        <v>80000</v>
      </c>
      <c r="E27" s="448">
        <v>0.2</v>
      </c>
      <c r="F27" s="448"/>
      <c r="G27" s="449">
        <f>+D27*E27</f>
        <v>16000</v>
      </c>
      <c r="H27" s="450"/>
    </row>
    <row r="28" spans="1:8" x14ac:dyDescent="0.2">
      <c r="A28" s="446" t="s">
        <v>200</v>
      </c>
      <c r="B28" s="447"/>
      <c r="C28" s="91" t="s">
        <v>199</v>
      </c>
      <c r="D28" s="91">
        <v>15000</v>
      </c>
      <c r="E28" s="448">
        <v>0.2</v>
      </c>
      <c r="F28" s="448"/>
      <c r="G28" s="449">
        <f>+D28*E28</f>
        <v>3000</v>
      </c>
      <c r="H28" s="450"/>
    </row>
    <row r="29" spans="1:8" x14ac:dyDescent="0.2">
      <c r="A29" s="451"/>
      <c r="B29" s="452"/>
      <c r="C29" s="92"/>
      <c r="D29" s="91"/>
      <c r="E29" s="453"/>
      <c r="F29" s="454"/>
      <c r="G29" s="449"/>
      <c r="H29" s="450"/>
    </row>
    <row r="30" spans="1:8" x14ac:dyDescent="0.2">
      <c r="A30" s="93"/>
      <c r="B30" s="93"/>
      <c r="C30" s="442" t="s">
        <v>174</v>
      </c>
      <c r="D30" s="442"/>
      <c r="E30" s="442"/>
      <c r="F30" s="442"/>
      <c r="G30" s="441">
        <f>SUM(G27:G29)</f>
        <v>19000</v>
      </c>
      <c r="H30" s="441"/>
    </row>
    <row r="32" spans="1:8" x14ac:dyDescent="0.2">
      <c r="A32" s="86" t="s">
        <v>181</v>
      </c>
      <c r="B32" s="87"/>
      <c r="C32" s="87"/>
      <c r="D32" s="87"/>
      <c r="E32" s="87"/>
      <c r="F32" s="87"/>
      <c r="G32" s="87"/>
      <c r="H32" s="87"/>
    </row>
    <row r="33" spans="1:8" x14ac:dyDescent="0.2">
      <c r="A33" s="445" t="s">
        <v>182</v>
      </c>
      <c r="B33" s="445"/>
      <c r="C33" s="94" t="s">
        <v>183</v>
      </c>
      <c r="D33" s="95" t="s">
        <v>184</v>
      </c>
      <c r="E33" s="445" t="s">
        <v>185</v>
      </c>
      <c r="F33" s="445"/>
      <c r="G33" s="445" t="s">
        <v>171</v>
      </c>
      <c r="H33" s="445"/>
    </row>
    <row r="34" spans="1:8" x14ac:dyDescent="0.2">
      <c r="A34" s="440"/>
      <c r="B34" s="440"/>
      <c r="C34" s="92"/>
      <c r="D34" s="92"/>
      <c r="E34" s="441"/>
      <c r="F34" s="441"/>
      <c r="G34" s="441"/>
      <c r="H34" s="441"/>
    </row>
    <row r="35" spans="1:8" x14ac:dyDescent="0.2">
      <c r="A35" s="440"/>
      <c r="B35" s="440"/>
      <c r="C35" s="92"/>
      <c r="D35" s="92"/>
      <c r="E35" s="441"/>
      <c r="F35" s="441"/>
      <c r="G35" s="441"/>
      <c r="H35" s="441"/>
    </row>
    <row r="36" spans="1:8" x14ac:dyDescent="0.2">
      <c r="A36" s="440"/>
      <c r="B36" s="440"/>
      <c r="C36" s="92"/>
      <c r="D36" s="92"/>
      <c r="E36" s="441"/>
      <c r="F36" s="441"/>
      <c r="G36" s="441"/>
      <c r="H36" s="441"/>
    </row>
    <row r="37" spans="1:8" x14ac:dyDescent="0.2">
      <c r="A37" s="93"/>
      <c r="B37" s="93"/>
      <c r="C37" s="442" t="s">
        <v>174</v>
      </c>
      <c r="D37" s="442"/>
      <c r="E37" s="442"/>
      <c r="F37" s="442"/>
      <c r="G37" s="441"/>
      <c r="H37" s="441"/>
    </row>
    <row r="39" spans="1:8" x14ac:dyDescent="0.2">
      <c r="A39" s="86" t="s">
        <v>186</v>
      </c>
      <c r="B39" s="87"/>
      <c r="C39" s="87"/>
      <c r="D39" s="87"/>
      <c r="E39" s="87"/>
      <c r="F39" s="87"/>
      <c r="G39" s="87"/>
      <c r="H39" s="87"/>
    </row>
    <row r="40" spans="1:8" x14ac:dyDescent="0.2">
      <c r="A40" s="445" t="s">
        <v>187</v>
      </c>
      <c r="B40" s="445"/>
      <c r="C40" s="90" t="s">
        <v>188</v>
      </c>
      <c r="D40" s="95" t="s">
        <v>189</v>
      </c>
      <c r="E40" s="96" t="s">
        <v>190</v>
      </c>
      <c r="F40" s="97" t="s">
        <v>170</v>
      </c>
      <c r="G40" s="445" t="s">
        <v>171</v>
      </c>
      <c r="H40" s="445"/>
    </row>
    <row r="41" spans="1:8" x14ac:dyDescent="0.2">
      <c r="A41" s="446" t="s">
        <v>201</v>
      </c>
      <c r="B41" s="447"/>
      <c r="C41" s="91">
        <v>60000</v>
      </c>
      <c r="D41" s="98">
        <v>0.85</v>
      </c>
      <c r="E41" s="91">
        <f>+((C41*D41)+C41)</f>
        <v>111000</v>
      </c>
      <c r="F41" s="99">
        <v>100</v>
      </c>
      <c r="G41" s="441">
        <f>+E41/F41</f>
        <v>1110</v>
      </c>
      <c r="H41" s="441"/>
    </row>
    <row r="42" spans="1:8" x14ac:dyDescent="0.2">
      <c r="A42" s="440" t="s">
        <v>202</v>
      </c>
      <c r="B42" s="440"/>
      <c r="C42" s="91">
        <v>350000</v>
      </c>
      <c r="D42" s="98">
        <v>0.85</v>
      </c>
      <c r="E42" s="91">
        <f>+((C42*D42)+C42)</f>
        <v>647500</v>
      </c>
      <c r="F42" s="99">
        <v>100</v>
      </c>
      <c r="G42" s="441">
        <f>+E42/F42</f>
        <v>6475</v>
      </c>
      <c r="H42" s="441"/>
    </row>
    <row r="43" spans="1:8" x14ac:dyDescent="0.2">
      <c r="A43" s="93"/>
      <c r="B43" s="93"/>
      <c r="C43" s="442" t="s">
        <v>174</v>
      </c>
      <c r="D43" s="442"/>
      <c r="E43" s="442"/>
      <c r="F43" s="442"/>
      <c r="G43" s="441">
        <f>SUM(G41:H42)</f>
        <v>7585</v>
      </c>
      <c r="H43" s="441"/>
    </row>
    <row r="46" spans="1:8" x14ac:dyDescent="0.2">
      <c r="A46" s="443" t="s">
        <v>193</v>
      </c>
      <c r="B46" s="443"/>
      <c r="C46" s="443"/>
      <c r="D46" s="443"/>
      <c r="E46" s="443"/>
      <c r="F46" s="443"/>
      <c r="G46" s="444">
        <f>+ROUND(G23+G30+G37+G43,0)</f>
        <v>29944</v>
      </c>
      <c r="H46" s="444"/>
    </row>
    <row r="47" spans="1:8" x14ac:dyDescent="0.2">
      <c r="G47" s="308">
        <f>+G46</f>
        <v>29944</v>
      </c>
    </row>
  </sheetData>
  <mergeCells count="73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C23:F23"/>
    <mergeCell ref="G23:H23"/>
    <mergeCell ref="A26:B26"/>
    <mergeCell ref="E26:F26"/>
    <mergeCell ref="G26:H26"/>
    <mergeCell ref="A27:B27"/>
    <mergeCell ref="E27:F27"/>
    <mergeCell ref="G27:H27"/>
    <mergeCell ref="A34:B34"/>
    <mergeCell ref="E34:F34"/>
    <mergeCell ref="G34:H34"/>
    <mergeCell ref="A28:B28"/>
    <mergeCell ref="E28:F28"/>
    <mergeCell ref="G28:H28"/>
    <mergeCell ref="A29:B29"/>
    <mergeCell ref="E29:F29"/>
    <mergeCell ref="G29:H29"/>
    <mergeCell ref="C30:F30"/>
    <mergeCell ref="G30:H30"/>
    <mergeCell ref="A33:B33"/>
    <mergeCell ref="E33:F33"/>
    <mergeCell ref="G33:H33"/>
    <mergeCell ref="A35:B35"/>
    <mergeCell ref="E35:F35"/>
    <mergeCell ref="G35:H35"/>
    <mergeCell ref="A36:B36"/>
    <mergeCell ref="E36:F36"/>
    <mergeCell ref="G36:H36"/>
    <mergeCell ref="C37:F37"/>
    <mergeCell ref="G37:H37"/>
    <mergeCell ref="A40:B40"/>
    <mergeCell ref="G40:H40"/>
    <mergeCell ref="A41:B41"/>
    <mergeCell ref="G41:H41"/>
    <mergeCell ref="A42:B42"/>
    <mergeCell ref="G42:H42"/>
    <mergeCell ref="C43:F43"/>
    <mergeCell ref="G43:H43"/>
    <mergeCell ref="A46:F46"/>
    <mergeCell ref="G46:H46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1"/>
  <sheetViews>
    <sheetView workbookViewId="0">
      <selection activeCell="G48" sqref="G48:H48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8" width="9.28515625" customWidth="1"/>
    <col min="16" max="16" width="15.85546875" bestFit="1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272" max="272" width="15.85546875" bestFit="1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528" max="528" width="15.85546875" bestFit="1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784" max="784" width="15.85546875" bestFit="1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040" max="1040" width="15.85546875" bestFit="1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296" max="1296" width="15.85546875" bestFit="1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552" max="1552" width="15.85546875" bestFit="1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1808" max="1808" width="15.85546875" bestFit="1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064" max="2064" width="15.85546875" bestFit="1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320" max="2320" width="15.85546875" bestFit="1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576" max="2576" width="15.85546875" bestFit="1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2832" max="2832" width="15.85546875" bestFit="1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088" max="3088" width="15.85546875" bestFit="1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344" max="3344" width="15.85546875" bestFit="1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600" max="3600" width="15.85546875" bestFit="1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3856" max="3856" width="15.85546875" bestFit="1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112" max="4112" width="15.85546875" bestFit="1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368" max="4368" width="15.85546875" bestFit="1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624" max="4624" width="15.85546875" bestFit="1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4880" max="4880" width="15.85546875" bestFit="1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136" max="5136" width="15.85546875" bestFit="1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392" max="5392" width="15.85546875" bestFit="1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648" max="5648" width="15.85546875" bestFit="1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5904" max="5904" width="15.85546875" bestFit="1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160" max="6160" width="15.85546875" bestFit="1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416" max="6416" width="15.85546875" bestFit="1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672" max="6672" width="15.85546875" bestFit="1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6928" max="6928" width="15.85546875" bestFit="1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184" max="7184" width="15.85546875" bestFit="1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440" max="7440" width="15.85546875" bestFit="1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696" max="7696" width="15.85546875" bestFit="1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7952" max="7952" width="15.85546875" bestFit="1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208" max="8208" width="15.85546875" bestFit="1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464" max="8464" width="15.85546875" bestFit="1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720" max="8720" width="15.85546875" bestFit="1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8976" max="8976" width="15.85546875" bestFit="1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232" max="9232" width="15.85546875" bestFit="1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488" max="9488" width="15.85546875" bestFit="1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744" max="9744" width="15.85546875" bestFit="1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000" max="10000" width="15.85546875" bestFit="1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256" max="10256" width="15.85546875" bestFit="1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512" max="10512" width="15.85546875" bestFit="1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0768" max="10768" width="15.85546875" bestFit="1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024" max="11024" width="15.85546875" bestFit="1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280" max="11280" width="15.85546875" bestFit="1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536" max="11536" width="15.85546875" bestFit="1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1792" max="11792" width="15.85546875" bestFit="1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048" max="12048" width="15.85546875" bestFit="1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304" max="12304" width="15.85546875" bestFit="1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560" max="12560" width="15.85546875" bestFit="1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2816" max="12816" width="15.85546875" bestFit="1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072" max="13072" width="15.85546875" bestFit="1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328" max="13328" width="15.85546875" bestFit="1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584" max="13584" width="15.85546875" bestFit="1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3840" max="13840" width="15.85546875" bestFit="1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096" max="14096" width="15.85546875" bestFit="1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352" max="14352" width="15.85546875" bestFit="1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608" max="14608" width="15.85546875" bestFit="1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4864" max="14864" width="15.85546875" bestFit="1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120" max="15120" width="15.85546875" bestFit="1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376" max="15376" width="15.85546875" bestFit="1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632" max="15632" width="15.85546875" bestFit="1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5888" max="15888" width="15.85546875" bestFit="1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  <col min="16144" max="16144" width="15.85546875" bestFit="1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323"/>
      <c r="B9" s="323"/>
      <c r="C9" s="323"/>
      <c r="D9" s="323"/>
      <c r="E9" s="323"/>
      <c r="F9" s="323"/>
      <c r="G9" s="405" t="s">
        <v>259</v>
      </c>
      <c r="H9" s="406"/>
    </row>
    <row r="10" spans="1:8" ht="15.75" thickBot="1" x14ac:dyDescent="0.3">
      <c r="A10" s="46"/>
      <c r="B10" s="46"/>
      <c r="C10" s="46"/>
      <c r="D10" s="46"/>
      <c r="E10" s="46"/>
      <c r="F10" s="46"/>
      <c r="G10" s="46"/>
      <c r="H10" s="46"/>
    </row>
    <row r="11" spans="1:8" ht="48.7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24" t="s">
        <v>403</v>
      </c>
      <c r="B15" s="418" t="s">
        <v>413</v>
      </c>
      <c r="C15" s="419"/>
      <c r="D15" s="419"/>
      <c r="E15" s="419"/>
      <c r="F15" s="420"/>
      <c r="G15" s="424" t="s">
        <v>166</v>
      </c>
      <c r="H15" s="426" t="s">
        <v>405</v>
      </c>
    </row>
    <row r="16" spans="1:8" ht="12.75" customHeight="1" x14ac:dyDescent="0.25">
      <c r="A16" s="694"/>
      <c r="B16" s="696"/>
      <c r="C16" s="697"/>
      <c r="D16" s="697"/>
      <c r="E16" s="697"/>
      <c r="F16" s="698"/>
      <c r="G16" s="694"/>
      <c r="H16" s="702"/>
    </row>
    <row r="17" spans="1:16" ht="15.75" thickBot="1" x14ac:dyDescent="0.3">
      <c r="A17" s="695"/>
      <c r="B17" s="699"/>
      <c r="C17" s="700"/>
      <c r="D17" s="700"/>
      <c r="E17" s="700"/>
      <c r="F17" s="701"/>
      <c r="G17" s="695"/>
      <c r="H17" s="703"/>
    </row>
    <row r="18" spans="1:16" x14ac:dyDescent="0.25">
      <c r="A18" s="119" t="s">
        <v>168</v>
      </c>
    </row>
    <row r="19" spans="1:16" x14ac:dyDescent="0.25">
      <c r="A19" s="704" t="s">
        <v>1</v>
      </c>
      <c r="B19" s="704"/>
      <c r="C19" s="704" t="s">
        <v>169</v>
      </c>
      <c r="D19" s="704"/>
      <c r="E19" s="704" t="s">
        <v>170</v>
      </c>
      <c r="F19" s="704"/>
      <c r="G19" s="704" t="s">
        <v>171</v>
      </c>
      <c r="H19" s="704"/>
    </row>
    <row r="20" spans="1:16" ht="38.25" customHeight="1" x14ac:dyDescent="0.25">
      <c r="A20" s="385" t="s">
        <v>225</v>
      </c>
      <c r="B20" s="401"/>
      <c r="C20" s="380">
        <v>150000</v>
      </c>
      <c r="D20" s="380"/>
      <c r="E20" s="542">
        <v>40</v>
      </c>
      <c r="F20" s="542"/>
      <c r="G20" s="380">
        <f>+C20/E20</f>
        <v>3750</v>
      </c>
      <c r="H20" s="380"/>
    </row>
    <row r="21" spans="1:16" ht="12.75" customHeight="1" x14ac:dyDescent="0.25">
      <c r="A21" s="397" t="s">
        <v>173</v>
      </c>
      <c r="B21" s="398"/>
      <c r="C21" s="399"/>
      <c r="D21" s="399"/>
      <c r="E21" s="400">
        <v>0.1</v>
      </c>
      <c r="F21" s="399"/>
      <c r="G21" s="388">
        <f>+E21*G45</f>
        <v>925</v>
      </c>
      <c r="H21" s="388"/>
    </row>
    <row r="22" spans="1:16" x14ac:dyDescent="0.25">
      <c r="C22" s="387" t="s">
        <v>174</v>
      </c>
      <c r="D22" s="387"/>
      <c r="E22" s="387"/>
      <c r="F22" s="387"/>
      <c r="G22" s="388">
        <f>SUM(G20:H21)</f>
        <v>4675</v>
      </c>
      <c r="H22" s="388"/>
    </row>
    <row r="23" spans="1:16" x14ac:dyDescent="0.25">
      <c r="C23" s="62"/>
      <c r="D23" s="62"/>
      <c r="E23" s="62"/>
      <c r="F23" s="62"/>
      <c r="G23" s="63"/>
      <c r="H23" s="63"/>
    </row>
    <row r="24" spans="1:16" x14ac:dyDescent="0.25">
      <c r="A24" s="119" t="s">
        <v>175</v>
      </c>
    </row>
    <row r="25" spans="1:16" x14ac:dyDescent="0.25">
      <c r="A25" s="704" t="s">
        <v>1</v>
      </c>
      <c r="B25" s="704"/>
      <c r="C25" s="325" t="s">
        <v>176</v>
      </c>
      <c r="D25" s="325" t="s">
        <v>177</v>
      </c>
      <c r="E25" s="704" t="s">
        <v>3</v>
      </c>
      <c r="F25" s="704"/>
      <c r="G25" s="704" t="s">
        <v>171</v>
      </c>
      <c r="H25" s="704"/>
    </row>
    <row r="26" spans="1:16" ht="24" customHeight="1" x14ac:dyDescent="0.25">
      <c r="A26" s="781" t="s">
        <v>414</v>
      </c>
      <c r="B26" s="781"/>
      <c r="C26" s="319" t="s">
        <v>415</v>
      </c>
      <c r="D26" s="67">
        <v>272000</v>
      </c>
      <c r="E26" s="389">
        <v>1</v>
      </c>
      <c r="F26" s="390"/>
      <c r="G26" s="391">
        <f>+D26*E26</f>
        <v>272000</v>
      </c>
      <c r="H26" s="392"/>
    </row>
    <row r="27" spans="1:16" x14ac:dyDescent="0.25">
      <c r="A27" s="599" t="s">
        <v>416</v>
      </c>
      <c r="B27" s="600"/>
      <c r="C27" s="319" t="s">
        <v>52</v>
      </c>
      <c r="D27" s="67">
        <v>5000</v>
      </c>
      <c r="E27" s="389">
        <v>4</v>
      </c>
      <c r="F27" s="390"/>
      <c r="G27" s="391">
        <f>+D27*E27</f>
        <v>20000</v>
      </c>
      <c r="H27" s="392"/>
      <c r="P27" s="334"/>
    </row>
    <row r="28" spans="1:16" x14ac:dyDescent="0.25">
      <c r="A28" s="599" t="s">
        <v>417</v>
      </c>
      <c r="B28" s="600"/>
      <c r="C28" s="319" t="s">
        <v>52</v>
      </c>
      <c r="D28" s="67">
        <v>18000</v>
      </c>
      <c r="E28" s="389">
        <v>4</v>
      </c>
      <c r="F28" s="390"/>
      <c r="G28" s="391">
        <f>+D28*E28</f>
        <v>72000</v>
      </c>
      <c r="H28" s="392"/>
    </row>
    <row r="29" spans="1:16" x14ac:dyDescent="0.25">
      <c r="A29" s="379" t="s">
        <v>418</v>
      </c>
      <c r="B29" s="379"/>
      <c r="C29" s="319" t="s">
        <v>52</v>
      </c>
      <c r="D29" s="67">
        <v>7000</v>
      </c>
      <c r="E29" s="389">
        <v>8</v>
      </c>
      <c r="F29" s="390"/>
      <c r="G29" s="391">
        <f>+D29*E29</f>
        <v>56000</v>
      </c>
      <c r="H29" s="392"/>
    </row>
    <row r="30" spans="1:16" ht="24" customHeight="1" x14ac:dyDescent="0.25">
      <c r="A30" s="784" t="s">
        <v>407</v>
      </c>
      <c r="B30" s="784"/>
      <c r="C30" s="128" t="s">
        <v>400</v>
      </c>
      <c r="D30" s="128"/>
      <c r="E30" s="782">
        <v>0.17</v>
      </c>
      <c r="F30" s="782"/>
      <c r="G30" s="706">
        <f>+E30*(G29+G28+G26+G27)</f>
        <v>71400</v>
      </c>
      <c r="H30" s="707"/>
    </row>
    <row r="31" spans="1:16" x14ac:dyDescent="0.25">
      <c r="A31" s="122"/>
      <c r="B31" s="122"/>
      <c r="C31" s="387" t="s">
        <v>174</v>
      </c>
      <c r="D31" s="387"/>
      <c r="E31" s="387"/>
      <c r="F31" s="387"/>
      <c r="G31" s="388">
        <f>SUM(G26:H30)</f>
        <v>491400</v>
      </c>
      <c r="H31" s="388"/>
    </row>
    <row r="33" spans="1:8" x14ac:dyDescent="0.25">
      <c r="A33" s="119" t="s">
        <v>181</v>
      </c>
    </row>
    <row r="34" spans="1:8" x14ac:dyDescent="0.25">
      <c r="A34" s="704" t="s">
        <v>182</v>
      </c>
      <c r="B34" s="704"/>
      <c r="C34" s="123" t="s">
        <v>183</v>
      </c>
      <c r="D34" s="325" t="s">
        <v>184</v>
      </c>
      <c r="E34" s="704" t="s">
        <v>185</v>
      </c>
      <c r="F34" s="704"/>
      <c r="G34" s="704" t="s">
        <v>171</v>
      </c>
      <c r="H34" s="704"/>
    </row>
    <row r="35" spans="1:8" x14ac:dyDescent="0.25">
      <c r="A35" s="379" t="s">
        <v>414</v>
      </c>
      <c r="B35" s="379"/>
      <c r="C35" s="324">
        <v>2</v>
      </c>
      <c r="D35" s="324">
        <v>350</v>
      </c>
      <c r="E35" s="388">
        <v>4</v>
      </c>
      <c r="F35" s="388"/>
      <c r="G35" s="388">
        <f>+E35*D35*C35</f>
        <v>2800</v>
      </c>
      <c r="H35" s="388"/>
    </row>
    <row r="36" spans="1:8" x14ac:dyDescent="0.25">
      <c r="A36" s="599" t="s">
        <v>416</v>
      </c>
      <c r="B36" s="600"/>
      <c r="C36" s="324">
        <v>4</v>
      </c>
      <c r="D36" s="324">
        <v>350</v>
      </c>
      <c r="E36" s="388">
        <v>0.5</v>
      </c>
      <c r="F36" s="388"/>
      <c r="G36" s="388">
        <f>+E36*D36*C36</f>
        <v>700</v>
      </c>
      <c r="H36" s="388"/>
    </row>
    <row r="37" spans="1:8" x14ac:dyDescent="0.25">
      <c r="A37" s="599" t="s">
        <v>417</v>
      </c>
      <c r="B37" s="600"/>
      <c r="C37" s="324">
        <v>4</v>
      </c>
      <c r="D37" s="324">
        <v>350</v>
      </c>
      <c r="E37" s="706">
        <v>0.5</v>
      </c>
      <c r="F37" s="707"/>
      <c r="G37" s="706">
        <f>+E37*D37*C37</f>
        <v>700</v>
      </c>
      <c r="H37" s="707"/>
    </row>
    <row r="38" spans="1:8" x14ac:dyDescent="0.25">
      <c r="A38" s="379" t="s">
        <v>418</v>
      </c>
      <c r="B38" s="379"/>
      <c r="C38" s="324">
        <v>8</v>
      </c>
      <c r="D38" s="324">
        <v>350</v>
      </c>
      <c r="E38" s="388">
        <v>0.5</v>
      </c>
      <c r="F38" s="388"/>
      <c r="G38" s="388">
        <f>+E38*D38*C38</f>
        <v>1400</v>
      </c>
      <c r="H38" s="388"/>
    </row>
    <row r="39" spans="1:8" x14ac:dyDescent="0.25">
      <c r="A39" s="122"/>
      <c r="B39" s="122"/>
      <c r="C39" s="387" t="s">
        <v>174</v>
      </c>
      <c r="D39" s="387"/>
      <c r="E39" s="387"/>
      <c r="F39" s="387"/>
      <c r="G39" s="388">
        <f>SUM(G35:H38)</f>
        <v>5600</v>
      </c>
      <c r="H39" s="388"/>
    </row>
    <row r="41" spans="1:8" x14ac:dyDescent="0.25">
      <c r="A41" s="119" t="s">
        <v>186</v>
      </c>
    </row>
    <row r="42" spans="1:8" x14ac:dyDescent="0.25">
      <c r="A42" s="704" t="s">
        <v>187</v>
      </c>
      <c r="B42" s="704"/>
      <c r="C42" s="123" t="s">
        <v>188</v>
      </c>
      <c r="D42" s="124" t="s">
        <v>189</v>
      </c>
      <c r="E42" s="126" t="s">
        <v>190</v>
      </c>
      <c r="F42" s="127" t="s">
        <v>170</v>
      </c>
      <c r="G42" s="704" t="s">
        <v>171</v>
      </c>
      <c r="H42" s="704"/>
    </row>
    <row r="43" spans="1:8" x14ac:dyDescent="0.25">
      <c r="A43" s="397" t="s">
        <v>201</v>
      </c>
      <c r="B43" s="398"/>
      <c r="C43" s="128">
        <v>60000</v>
      </c>
      <c r="D43" s="129">
        <v>0.85</v>
      </c>
      <c r="E43" s="128">
        <f>+((C43*D43)+C43)</f>
        <v>111000</v>
      </c>
      <c r="F43" s="321">
        <v>40</v>
      </c>
      <c r="G43" s="706">
        <f>+E43/F43</f>
        <v>2775</v>
      </c>
      <c r="H43" s="707"/>
    </row>
    <row r="44" spans="1:8" x14ac:dyDescent="0.25">
      <c r="A44" s="397" t="s">
        <v>229</v>
      </c>
      <c r="B44" s="398"/>
      <c r="C44" s="128">
        <f>35000*4</f>
        <v>140000</v>
      </c>
      <c r="D44" s="129">
        <v>0.85</v>
      </c>
      <c r="E44" s="128">
        <f>+((C44*D44)+C44)</f>
        <v>259000</v>
      </c>
      <c r="F44" s="321">
        <v>40</v>
      </c>
      <c r="G44" s="706">
        <f>+E44/F44</f>
        <v>6475</v>
      </c>
      <c r="H44" s="707"/>
    </row>
    <row r="45" spans="1:8" x14ac:dyDescent="0.25">
      <c r="A45" s="122"/>
      <c r="B45" s="122"/>
      <c r="C45" s="387" t="s">
        <v>174</v>
      </c>
      <c r="D45" s="387"/>
      <c r="E45" s="387"/>
      <c r="F45" s="387"/>
      <c r="G45" s="388">
        <f>SUM(G43:H44)</f>
        <v>9250</v>
      </c>
      <c r="H45" s="388"/>
    </row>
    <row r="48" spans="1:8" x14ac:dyDescent="0.25">
      <c r="A48" s="382" t="s">
        <v>193</v>
      </c>
      <c r="B48" s="382"/>
      <c r="C48" s="382"/>
      <c r="D48" s="382"/>
      <c r="E48" s="382"/>
      <c r="F48" s="382"/>
      <c r="G48" s="383">
        <f>+ROUND(G22+G31+G39+G45,0)</f>
        <v>510925</v>
      </c>
      <c r="H48" s="383"/>
    </row>
    <row r="49" spans="7:7" x14ac:dyDescent="0.25">
      <c r="G49" s="309">
        <f>+G48</f>
        <v>510925</v>
      </c>
    </row>
    <row r="51" spans="7:7" x14ac:dyDescent="0.25">
      <c r="G51" s="143"/>
    </row>
  </sheetData>
  <mergeCells count="74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7"/>
    <mergeCell ref="B15:F17"/>
    <mergeCell ref="G15:G17"/>
    <mergeCell ref="H15:H17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7:B27"/>
    <mergeCell ref="E27:F27"/>
    <mergeCell ref="G27:H27"/>
    <mergeCell ref="A25:B25"/>
    <mergeCell ref="E25:F25"/>
    <mergeCell ref="G25:H25"/>
    <mergeCell ref="A26:B26"/>
    <mergeCell ref="E26:F26"/>
    <mergeCell ref="G26:H26"/>
    <mergeCell ref="A29:B29"/>
    <mergeCell ref="E29:F29"/>
    <mergeCell ref="G29:H29"/>
    <mergeCell ref="A30:B30"/>
    <mergeCell ref="E30:F30"/>
    <mergeCell ref="G30:H30"/>
    <mergeCell ref="A36:B36"/>
    <mergeCell ref="E36:F36"/>
    <mergeCell ref="G36:H36"/>
    <mergeCell ref="C31:F31"/>
    <mergeCell ref="G31:H31"/>
    <mergeCell ref="A34:B34"/>
    <mergeCell ref="E34:F34"/>
    <mergeCell ref="G34:H34"/>
    <mergeCell ref="A35:B35"/>
    <mergeCell ref="E35:F35"/>
    <mergeCell ref="G35:H35"/>
    <mergeCell ref="G38:H38"/>
    <mergeCell ref="C39:F39"/>
    <mergeCell ref="G39:H39"/>
    <mergeCell ref="A42:B42"/>
    <mergeCell ref="G42:H42"/>
    <mergeCell ref="A48:F48"/>
    <mergeCell ref="G48:H48"/>
    <mergeCell ref="G28:H28"/>
    <mergeCell ref="E28:F28"/>
    <mergeCell ref="A28:B28"/>
    <mergeCell ref="G37:H37"/>
    <mergeCell ref="E37:F37"/>
    <mergeCell ref="A37:B37"/>
    <mergeCell ref="A43:B43"/>
    <mergeCell ref="G43:H43"/>
    <mergeCell ref="A44:B44"/>
    <mergeCell ref="G44:H44"/>
    <mergeCell ref="C45:F45"/>
    <mergeCell ref="G45:H45"/>
    <mergeCell ref="A38:B38"/>
    <mergeCell ref="E38:F3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3"/>
  <sheetViews>
    <sheetView workbookViewId="0">
      <selection activeCell="G42" sqref="G42:H42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428"/>
      <c r="B3" s="429"/>
      <c r="C3" s="773" t="s">
        <v>160</v>
      </c>
      <c r="D3" s="774"/>
      <c r="E3" s="774"/>
      <c r="F3" s="775"/>
      <c r="G3" s="428"/>
      <c r="H3" s="429"/>
    </row>
    <row r="4" spans="1:8" x14ac:dyDescent="0.25">
      <c r="A4" s="430"/>
      <c r="B4" s="431"/>
      <c r="C4" s="776" t="s">
        <v>85</v>
      </c>
      <c r="D4" s="777"/>
      <c r="E4" s="777"/>
      <c r="F4" s="778"/>
      <c r="G4" s="430"/>
      <c r="H4" s="431"/>
    </row>
    <row r="5" spans="1:8" x14ac:dyDescent="0.25">
      <c r="A5" s="430"/>
      <c r="B5" s="431"/>
      <c r="C5" s="149"/>
      <c r="D5" s="58"/>
      <c r="E5" s="58"/>
      <c r="F5" s="150"/>
      <c r="G5" s="430"/>
      <c r="H5" s="431"/>
    </row>
    <row r="6" spans="1:8" x14ac:dyDescent="0.25">
      <c r="A6" s="430"/>
      <c r="B6" s="431"/>
      <c r="C6" s="776" t="s">
        <v>161</v>
      </c>
      <c r="D6" s="777"/>
      <c r="E6" s="777"/>
      <c r="F6" s="778"/>
      <c r="G6" s="430"/>
      <c r="H6" s="431"/>
    </row>
    <row r="7" spans="1:8" x14ac:dyDescent="0.25">
      <c r="A7" s="430"/>
      <c r="B7" s="431"/>
      <c r="C7" s="776" t="s">
        <v>162</v>
      </c>
      <c r="D7" s="777"/>
      <c r="E7" s="777"/>
      <c r="F7" s="778"/>
      <c r="G7" s="430"/>
      <c r="H7" s="431"/>
    </row>
    <row r="8" spans="1:8" ht="15.75" thickBot="1" x14ac:dyDescent="0.3">
      <c r="A8" s="432"/>
      <c r="B8" s="433"/>
      <c r="C8" s="151"/>
      <c r="D8" s="152"/>
      <c r="E8" s="152"/>
      <c r="F8" s="153"/>
      <c r="G8" s="432"/>
      <c r="H8" s="433"/>
    </row>
    <row r="10" spans="1:8" ht="15.75" thickBot="1" x14ac:dyDescent="0.3">
      <c r="A10" s="779" t="s">
        <v>163</v>
      </c>
      <c r="B10" s="779"/>
      <c r="C10" s="779"/>
      <c r="D10" s="779"/>
      <c r="E10" s="779"/>
      <c r="F10" s="779"/>
      <c r="G10" s="779"/>
      <c r="H10" s="779"/>
    </row>
    <row r="11" spans="1:8" ht="15.75" thickBot="1" x14ac:dyDescent="0.3">
      <c r="A11" s="326"/>
      <c r="B11" s="326"/>
      <c r="C11" s="326"/>
      <c r="D11" s="326"/>
      <c r="E11" s="326"/>
      <c r="F11" s="326"/>
      <c r="G11" s="405" t="s">
        <v>259</v>
      </c>
      <c r="H11" s="406"/>
    </row>
    <row r="12" spans="1:8" ht="15.75" thickBot="1" x14ac:dyDescent="0.3"/>
    <row r="13" spans="1:8" ht="56.25" customHeight="1" x14ac:dyDescent="0.25">
      <c r="A13" s="407" t="s">
        <v>428</v>
      </c>
      <c r="B13" s="408"/>
      <c r="C13" s="408"/>
      <c r="D13" s="408"/>
      <c r="E13" s="408"/>
      <c r="F13" s="408"/>
      <c r="G13" s="408"/>
      <c r="H13" s="409"/>
    </row>
    <row r="14" spans="1:8" x14ac:dyDescent="0.25">
      <c r="A14" s="410"/>
      <c r="B14" s="411"/>
      <c r="C14" s="411"/>
      <c r="D14" s="411"/>
      <c r="E14" s="411"/>
      <c r="F14" s="411"/>
      <c r="G14" s="411"/>
      <c r="H14" s="412"/>
    </row>
    <row r="15" spans="1:8" ht="15.75" thickBot="1" x14ac:dyDescent="0.3">
      <c r="A15" s="413"/>
      <c r="B15" s="414"/>
      <c r="C15" s="414"/>
      <c r="D15" s="414"/>
      <c r="E15" s="414"/>
      <c r="F15" s="414"/>
      <c r="G15" s="414"/>
      <c r="H15" s="415"/>
    </row>
    <row r="16" spans="1:8" ht="15.75" thickBot="1" x14ac:dyDescent="0.3">
      <c r="A16" s="58"/>
    </row>
    <row r="17" spans="1:8" ht="21" customHeight="1" x14ac:dyDescent="0.25">
      <c r="A17" s="416" t="s">
        <v>409</v>
      </c>
      <c r="B17" s="418" t="s">
        <v>114</v>
      </c>
      <c r="C17" s="419"/>
      <c r="D17" s="419"/>
      <c r="E17" s="419"/>
      <c r="F17" s="420"/>
      <c r="G17" s="416" t="s">
        <v>166</v>
      </c>
      <c r="H17" s="780" t="s">
        <v>250</v>
      </c>
    </row>
    <row r="18" spans="1:8" ht="15.75" thickBot="1" x14ac:dyDescent="0.3">
      <c r="A18" s="417"/>
      <c r="B18" s="421"/>
      <c r="C18" s="422"/>
      <c r="D18" s="422"/>
      <c r="E18" s="422"/>
      <c r="F18" s="423"/>
      <c r="G18" s="417"/>
      <c r="H18" s="417"/>
    </row>
    <row r="19" spans="1:8" x14ac:dyDescent="0.25">
      <c r="A19" s="119" t="s">
        <v>168</v>
      </c>
    </row>
    <row r="20" spans="1:8" x14ac:dyDescent="0.25">
      <c r="A20" s="704" t="s">
        <v>1</v>
      </c>
      <c r="B20" s="704"/>
      <c r="C20" s="704" t="s">
        <v>169</v>
      </c>
      <c r="D20" s="704"/>
      <c r="E20" s="704" t="s">
        <v>170</v>
      </c>
      <c r="F20" s="704"/>
      <c r="G20" s="704" t="s">
        <v>171</v>
      </c>
      <c r="H20" s="704"/>
    </row>
    <row r="21" spans="1:8" s="335" customFormat="1" ht="23.25" customHeight="1" x14ac:dyDescent="0.25">
      <c r="A21" s="786" t="s">
        <v>420</v>
      </c>
      <c r="B21" s="787"/>
      <c r="C21" s="788">
        <v>10000</v>
      </c>
      <c r="D21" s="788"/>
      <c r="E21" s="785">
        <v>30</v>
      </c>
      <c r="F21" s="785"/>
      <c r="G21" s="388">
        <f t="shared" ref="G21" si="0">+C21/E21</f>
        <v>333.33333333333331</v>
      </c>
      <c r="H21" s="388"/>
    </row>
    <row r="22" spans="1:8" x14ac:dyDescent="0.25">
      <c r="C22" s="387" t="s">
        <v>174</v>
      </c>
      <c r="D22" s="387"/>
      <c r="E22" s="387"/>
      <c r="F22" s="387"/>
      <c r="G22" s="388">
        <f>SUM(G21:H21)</f>
        <v>333.33333333333331</v>
      </c>
      <c r="H22" s="388"/>
    </row>
    <row r="23" spans="1:8" x14ac:dyDescent="0.25">
      <c r="C23" s="62"/>
      <c r="D23" s="62"/>
      <c r="E23" s="62"/>
      <c r="F23" s="62"/>
      <c r="G23" s="63"/>
      <c r="H23" s="63"/>
    </row>
    <row r="24" spans="1:8" x14ac:dyDescent="0.25">
      <c r="A24" s="119" t="s">
        <v>175</v>
      </c>
    </row>
    <row r="25" spans="1:8" x14ac:dyDescent="0.25">
      <c r="A25" s="704" t="s">
        <v>1</v>
      </c>
      <c r="B25" s="704"/>
      <c r="C25" s="325" t="s">
        <v>176</v>
      </c>
      <c r="D25" s="325" t="s">
        <v>177</v>
      </c>
      <c r="E25" s="704" t="s">
        <v>3</v>
      </c>
      <c r="F25" s="704"/>
      <c r="G25" s="704" t="s">
        <v>171</v>
      </c>
      <c r="H25" s="704"/>
    </row>
    <row r="26" spans="1:8" x14ac:dyDescent="0.25">
      <c r="A26" s="397" t="s">
        <v>398</v>
      </c>
      <c r="B26" s="398"/>
      <c r="C26" s="128" t="s">
        <v>176</v>
      </c>
      <c r="D26" s="128">
        <v>7000</v>
      </c>
      <c r="E26" s="448">
        <v>1</v>
      </c>
      <c r="F26" s="448"/>
      <c r="G26" s="706">
        <f>+D26*E26</f>
        <v>7000</v>
      </c>
      <c r="H26" s="707"/>
    </row>
    <row r="27" spans="1:8" ht="25.5" customHeight="1" x14ac:dyDescent="0.25">
      <c r="A27" s="784" t="s">
        <v>399</v>
      </c>
      <c r="B27" s="784"/>
      <c r="C27" s="128" t="s">
        <v>400</v>
      </c>
      <c r="D27" s="128"/>
      <c r="E27" s="782">
        <v>0.17</v>
      </c>
      <c r="F27" s="782"/>
      <c r="G27" s="706">
        <f>+E27*(G26)</f>
        <v>1190</v>
      </c>
      <c r="H27" s="707"/>
    </row>
    <row r="28" spans="1:8" x14ac:dyDescent="0.25">
      <c r="A28" s="122"/>
      <c r="B28" s="122"/>
      <c r="C28" s="387" t="s">
        <v>174</v>
      </c>
      <c r="D28" s="387"/>
      <c r="E28" s="387"/>
      <c r="F28" s="387"/>
      <c r="G28" s="388">
        <f>SUM(G26:H27)</f>
        <v>8190</v>
      </c>
      <c r="H28" s="388"/>
    </row>
    <row r="30" spans="1:8" x14ac:dyDescent="0.25">
      <c r="A30" s="119" t="s">
        <v>253</v>
      </c>
    </row>
    <row r="31" spans="1:8" x14ac:dyDescent="0.25">
      <c r="A31" s="704" t="s">
        <v>182</v>
      </c>
      <c r="B31" s="704"/>
      <c r="C31" s="123" t="s">
        <v>183</v>
      </c>
      <c r="D31" s="124" t="s">
        <v>184</v>
      </c>
      <c r="E31" s="704" t="s">
        <v>185</v>
      </c>
      <c r="F31" s="704"/>
      <c r="G31" s="704" t="s">
        <v>171</v>
      </c>
      <c r="H31" s="704"/>
    </row>
    <row r="32" spans="1:8" x14ac:dyDescent="0.25">
      <c r="A32" s="397" t="s">
        <v>398</v>
      </c>
      <c r="B32" s="398"/>
      <c r="C32" s="125">
        <v>1</v>
      </c>
      <c r="D32" s="125">
        <v>350</v>
      </c>
      <c r="E32" s="388">
        <v>0.5</v>
      </c>
      <c r="F32" s="388"/>
      <c r="G32" s="388">
        <f>+C32*D32*E32</f>
        <v>175</v>
      </c>
      <c r="H32" s="388"/>
    </row>
    <row r="33" spans="1:8" x14ac:dyDescent="0.25">
      <c r="A33" s="122"/>
      <c r="B33" s="122"/>
      <c r="C33" s="387" t="s">
        <v>174</v>
      </c>
      <c r="D33" s="387"/>
      <c r="E33" s="387"/>
      <c r="F33" s="387"/>
      <c r="G33" s="388">
        <f>+SUM(G32:H32)</f>
        <v>175</v>
      </c>
      <c r="H33" s="388"/>
    </row>
    <row r="35" spans="1:8" x14ac:dyDescent="0.25">
      <c r="A35" s="119" t="s">
        <v>255</v>
      </c>
    </row>
    <row r="36" spans="1:8" x14ac:dyDescent="0.25">
      <c r="A36" s="704" t="s">
        <v>187</v>
      </c>
      <c r="B36" s="704"/>
      <c r="C36" s="123" t="s">
        <v>188</v>
      </c>
      <c r="D36" s="124" t="s">
        <v>189</v>
      </c>
      <c r="E36" s="126" t="s">
        <v>190</v>
      </c>
      <c r="F36" s="127" t="s">
        <v>170</v>
      </c>
      <c r="G36" s="704" t="s">
        <v>171</v>
      </c>
      <c r="H36" s="704"/>
    </row>
    <row r="37" spans="1:8" x14ac:dyDescent="0.25">
      <c r="A37" s="705" t="s">
        <v>220</v>
      </c>
      <c r="B37" s="705"/>
      <c r="C37" s="128">
        <v>70000</v>
      </c>
      <c r="D37" s="322">
        <v>0.85</v>
      </c>
      <c r="E37" s="128">
        <f>+((C37*D37)+C37)</f>
        <v>129500</v>
      </c>
      <c r="F37" s="321">
        <v>30</v>
      </c>
      <c r="G37" s="388">
        <f>+E37/F37</f>
        <v>4316.666666666667</v>
      </c>
      <c r="H37" s="388"/>
    </row>
    <row r="38" spans="1:8" x14ac:dyDescent="0.25">
      <c r="A38" s="705"/>
      <c r="B38" s="705"/>
      <c r="C38" s="128"/>
      <c r="D38" s="125"/>
      <c r="E38" s="128"/>
      <c r="F38" s="125"/>
      <c r="G38" s="388"/>
      <c r="H38" s="388"/>
    </row>
    <row r="39" spans="1:8" x14ac:dyDescent="0.25">
      <c r="A39" s="122"/>
      <c r="B39" s="122"/>
      <c r="C39" s="387" t="s">
        <v>174</v>
      </c>
      <c r="D39" s="387"/>
      <c r="E39" s="387"/>
      <c r="F39" s="387"/>
      <c r="G39" s="388">
        <f>+G37+G38</f>
        <v>4316.666666666667</v>
      </c>
      <c r="H39" s="388"/>
    </row>
    <row r="42" spans="1:8" x14ac:dyDescent="0.25">
      <c r="A42" s="382" t="s">
        <v>193</v>
      </c>
      <c r="B42" s="382"/>
      <c r="C42" s="382"/>
      <c r="D42" s="382"/>
      <c r="E42" s="382"/>
      <c r="F42" s="382"/>
      <c r="G42" s="783">
        <f>ROUND(G22+G28+G33+G39,0)</f>
        <v>13015</v>
      </c>
      <c r="H42" s="783"/>
    </row>
    <row r="43" spans="1:8" x14ac:dyDescent="0.25">
      <c r="G43" s="310">
        <f>+G42</f>
        <v>13015</v>
      </c>
    </row>
  </sheetData>
  <mergeCells count="52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5:B25"/>
    <mergeCell ref="E25:F25"/>
    <mergeCell ref="G25:H25"/>
    <mergeCell ref="C22:F22"/>
    <mergeCell ref="G22:H22"/>
    <mergeCell ref="A26:B26"/>
    <mergeCell ref="E26:F26"/>
    <mergeCell ref="G26:H26"/>
    <mergeCell ref="A27:B27"/>
    <mergeCell ref="E27:F27"/>
    <mergeCell ref="G27:H27"/>
    <mergeCell ref="A36:B36"/>
    <mergeCell ref="G36:H36"/>
    <mergeCell ref="C28:F28"/>
    <mergeCell ref="G28:H28"/>
    <mergeCell ref="A31:B31"/>
    <mergeCell ref="E31:F31"/>
    <mergeCell ref="G31:H31"/>
    <mergeCell ref="A32:B32"/>
    <mergeCell ref="E32:F32"/>
    <mergeCell ref="G32:H32"/>
    <mergeCell ref="C33:F33"/>
    <mergeCell ref="G33:H33"/>
    <mergeCell ref="C39:F39"/>
    <mergeCell ref="G39:H39"/>
    <mergeCell ref="A42:F42"/>
    <mergeCell ref="G42:H42"/>
    <mergeCell ref="A37:B37"/>
    <mergeCell ref="G37:H37"/>
    <mergeCell ref="A38:B38"/>
    <mergeCell ref="G38:H38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4"/>
  <sheetViews>
    <sheetView topLeftCell="A20" workbookViewId="0">
      <selection activeCell="G43" sqref="G43:H43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428"/>
      <c r="B3" s="429"/>
      <c r="C3" s="773" t="s">
        <v>160</v>
      </c>
      <c r="D3" s="774"/>
      <c r="E3" s="774"/>
      <c r="F3" s="775"/>
      <c r="G3" s="428"/>
      <c r="H3" s="429"/>
    </row>
    <row r="4" spans="1:8" x14ac:dyDescent="0.25">
      <c r="A4" s="430"/>
      <c r="B4" s="431"/>
      <c r="C4" s="776" t="s">
        <v>85</v>
      </c>
      <c r="D4" s="777"/>
      <c r="E4" s="777"/>
      <c r="F4" s="778"/>
      <c r="G4" s="430"/>
      <c r="H4" s="431"/>
    </row>
    <row r="5" spans="1:8" x14ac:dyDescent="0.25">
      <c r="A5" s="430"/>
      <c r="B5" s="431"/>
      <c r="C5" s="149"/>
      <c r="D5" s="58"/>
      <c r="E5" s="58"/>
      <c r="F5" s="150"/>
      <c r="G5" s="430"/>
      <c r="H5" s="431"/>
    </row>
    <row r="6" spans="1:8" x14ac:dyDescent="0.25">
      <c r="A6" s="430"/>
      <c r="B6" s="431"/>
      <c r="C6" s="776" t="s">
        <v>161</v>
      </c>
      <c r="D6" s="777"/>
      <c r="E6" s="777"/>
      <c r="F6" s="778"/>
      <c r="G6" s="430"/>
      <c r="H6" s="431"/>
    </row>
    <row r="7" spans="1:8" x14ac:dyDescent="0.25">
      <c r="A7" s="430"/>
      <c r="B7" s="431"/>
      <c r="C7" s="776" t="s">
        <v>162</v>
      </c>
      <c r="D7" s="777"/>
      <c r="E7" s="777"/>
      <c r="F7" s="778"/>
      <c r="G7" s="430"/>
      <c r="H7" s="431"/>
    </row>
    <row r="8" spans="1:8" ht="15.75" thickBot="1" x14ac:dyDescent="0.3">
      <c r="A8" s="432"/>
      <c r="B8" s="433"/>
      <c r="C8" s="151"/>
      <c r="D8" s="152"/>
      <c r="E8" s="152"/>
      <c r="F8" s="153"/>
      <c r="G8" s="432"/>
      <c r="H8" s="433"/>
    </row>
    <row r="10" spans="1:8" ht="15.75" thickBot="1" x14ac:dyDescent="0.3">
      <c r="A10" s="779" t="s">
        <v>163</v>
      </c>
      <c r="B10" s="779"/>
      <c r="C10" s="779"/>
      <c r="D10" s="779"/>
      <c r="E10" s="779"/>
      <c r="F10" s="779"/>
      <c r="G10" s="779"/>
      <c r="H10" s="779"/>
    </row>
    <row r="11" spans="1:8" ht="15.75" thickBot="1" x14ac:dyDescent="0.3">
      <c r="A11" s="326"/>
      <c r="B11" s="326"/>
      <c r="C11" s="326"/>
      <c r="D11" s="326"/>
      <c r="E11" s="326"/>
      <c r="F11" s="326"/>
      <c r="G11" s="405" t="s">
        <v>259</v>
      </c>
      <c r="H11" s="406"/>
    </row>
    <row r="12" spans="1:8" ht="15.75" thickBot="1" x14ac:dyDescent="0.3"/>
    <row r="13" spans="1:8" ht="56.25" customHeight="1" x14ac:dyDescent="0.25">
      <c r="A13" s="407" t="s">
        <v>428</v>
      </c>
      <c r="B13" s="408"/>
      <c r="C13" s="408"/>
      <c r="D13" s="408"/>
      <c r="E13" s="408"/>
      <c r="F13" s="408"/>
      <c r="G13" s="408"/>
      <c r="H13" s="409"/>
    </row>
    <row r="14" spans="1:8" x14ac:dyDescent="0.25">
      <c r="A14" s="410"/>
      <c r="B14" s="411"/>
      <c r="C14" s="411"/>
      <c r="D14" s="411"/>
      <c r="E14" s="411"/>
      <c r="F14" s="411"/>
      <c r="G14" s="411"/>
      <c r="H14" s="412"/>
    </row>
    <row r="15" spans="1:8" ht="15.75" thickBot="1" x14ac:dyDescent="0.3">
      <c r="A15" s="413"/>
      <c r="B15" s="414"/>
      <c r="C15" s="414"/>
      <c r="D15" s="414"/>
      <c r="E15" s="414"/>
      <c r="F15" s="414"/>
      <c r="G15" s="414"/>
      <c r="H15" s="415"/>
    </row>
    <row r="16" spans="1:8" ht="15.75" thickBot="1" x14ac:dyDescent="0.3">
      <c r="A16" s="58"/>
    </row>
    <row r="17" spans="1:8" ht="21" customHeight="1" x14ac:dyDescent="0.25">
      <c r="A17" s="416" t="s">
        <v>419</v>
      </c>
      <c r="B17" s="418" t="s">
        <v>83</v>
      </c>
      <c r="C17" s="419"/>
      <c r="D17" s="419"/>
      <c r="E17" s="419"/>
      <c r="F17" s="420"/>
      <c r="G17" s="416" t="s">
        <v>166</v>
      </c>
      <c r="H17" s="780" t="s">
        <v>93</v>
      </c>
    </row>
    <row r="18" spans="1:8" ht="15.75" thickBot="1" x14ac:dyDescent="0.3">
      <c r="A18" s="417"/>
      <c r="B18" s="421"/>
      <c r="C18" s="422"/>
      <c r="D18" s="422"/>
      <c r="E18" s="422"/>
      <c r="F18" s="423"/>
      <c r="G18" s="417"/>
      <c r="H18" s="417"/>
    </row>
    <row r="19" spans="1:8" x14ac:dyDescent="0.25">
      <c r="A19" s="119" t="s">
        <v>168</v>
      </c>
    </row>
    <row r="20" spans="1:8" x14ac:dyDescent="0.25">
      <c r="A20" s="704" t="s">
        <v>1</v>
      </c>
      <c r="B20" s="704"/>
      <c r="C20" s="704" t="s">
        <v>169</v>
      </c>
      <c r="D20" s="704"/>
      <c r="E20" s="704" t="s">
        <v>170</v>
      </c>
      <c r="F20" s="704"/>
      <c r="G20" s="704" t="s">
        <v>171</v>
      </c>
      <c r="H20" s="704"/>
    </row>
    <row r="21" spans="1:8" ht="46.5" customHeight="1" x14ac:dyDescent="0.25">
      <c r="A21" s="385" t="s">
        <v>421</v>
      </c>
      <c r="B21" s="401"/>
      <c r="C21" s="388">
        <v>150000</v>
      </c>
      <c r="D21" s="388"/>
      <c r="E21" s="785">
        <v>20</v>
      </c>
      <c r="F21" s="785"/>
      <c r="G21" s="388">
        <f t="shared" ref="G21:G22" si="0">+C21/E21</f>
        <v>7500</v>
      </c>
      <c r="H21" s="388"/>
    </row>
    <row r="22" spans="1:8" ht="29.25" customHeight="1" x14ac:dyDescent="0.25">
      <c r="A22" s="446" t="s">
        <v>402</v>
      </c>
      <c r="B22" s="447"/>
      <c r="C22" s="388">
        <v>80000</v>
      </c>
      <c r="D22" s="388"/>
      <c r="E22" s="785">
        <v>20</v>
      </c>
      <c r="F22" s="785"/>
      <c r="G22" s="388">
        <f t="shared" si="0"/>
        <v>4000</v>
      </c>
      <c r="H22" s="388"/>
    </row>
    <row r="23" spans="1:8" x14ac:dyDescent="0.25">
      <c r="C23" s="387" t="s">
        <v>174</v>
      </c>
      <c r="D23" s="387"/>
      <c r="E23" s="387"/>
      <c r="F23" s="387"/>
      <c r="G23" s="388">
        <f>SUM(G21:H22)</f>
        <v>11500</v>
      </c>
      <c r="H23" s="388"/>
    </row>
    <row r="24" spans="1:8" x14ac:dyDescent="0.25">
      <c r="C24" s="62"/>
      <c r="D24" s="62"/>
      <c r="E24" s="62"/>
      <c r="F24" s="62"/>
      <c r="G24" s="63"/>
      <c r="H24" s="63"/>
    </row>
    <row r="25" spans="1:8" x14ac:dyDescent="0.25">
      <c r="A25" s="119" t="s">
        <v>175</v>
      </c>
    </row>
    <row r="26" spans="1:8" x14ac:dyDescent="0.25">
      <c r="A26" s="704" t="s">
        <v>1</v>
      </c>
      <c r="B26" s="704"/>
      <c r="C26" s="325" t="s">
        <v>176</v>
      </c>
      <c r="D26" s="325" t="s">
        <v>177</v>
      </c>
      <c r="E26" s="704" t="s">
        <v>3</v>
      </c>
      <c r="F26" s="704"/>
      <c r="G26" s="704" t="s">
        <v>171</v>
      </c>
      <c r="H26" s="704"/>
    </row>
    <row r="27" spans="1:8" ht="24.75" customHeight="1" x14ac:dyDescent="0.25">
      <c r="A27" s="385" t="s">
        <v>422</v>
      </c>
      <c r="B27" s="401"/>
      <c r="C27" s="128" t="s">
        <v>93</v>
      </c>
      <c r="D27" s="320">
        <v>90000</v>
      </c>
      <c r="E27" s="457">
        <v>1.2</v>
      </c>
      <c r="F27" s="457"/>
      <c r="G27" s="391">
        <f>+D27*E27</f>
        <v>108000</v>
      </c>
      <c r="H27" s="392"/>
    </row>
    <row r="28" spans="1:8" x14ac:dyDescent="0.25">
      <c r="A28" s="122"/>
      <c r="B28" s="122"/>
      <c r="C28" s="387" t="s">
        <v>174</v>
      </c>
      <c r="D28" s="387"/>
      <c r="E28" s="387"/>
      <c r="F28" s="387"/>
      <c r="G28" s="388">
        <f>SUM(G27:H27)</f>
        <v>108000</v>
      </c>
      <c r="H28" s="388"/>
    </row>
    <row r="30" spans="1:8" x14ac:dyDescent="0.25">
      <c r="A30" s="119" t="s">
        <v>253</v>
      </c>
    </row>
    <row r="31" spans="1:8" x14ac:dyDescent="0.25">
      <c r="A31" s="704" t="s">
        <v>182</v>
      </c>
      <c r="B31" s="704"/>
      <c r="C31" s="123" t="s">
        <v>183</v>
      </c>
      <c r="D31" s="124" t="s">
        <v>184</v>
      </c>
      <c r="E31" s="704" t="s">
        <v>185</v>
      </c>
      <c r="F31" s="704"/>
      <c r="G31" s="704" t="s">
        <v>171</v>
      </c>
      <c r="H31" s="704"/>
    </row>
    <row r="32" spans="1:8" ht="19.5" customHeight="1" x14ac:dyDescent="0.25">
      <c r="A32" s="539" t="str">
        <f>+A27</f>
        <v>Gravilla con granulometría adecuada para balasto</v>
      </c>
      <c r="B32" s="540"/>
      <c r="C32" s="66">
        <v>1</v>
      </c>
      <c r="D32" s="66">
        <v>50</v>
      </c>
      <c r="E32" s="380">
        <v>1000</v>
      </c>
      <c r="F32" s="380"/>
      <c r="G32" s="380">
        <f>+C32*D32*E32</f>
        <v>50000</v>
      </c>
      <c r="H32" s="380"/>
    </row>
    <row r="33" spans="1:8" x14ac:dyDescent="0.25">
      <c r="A33" s="122"/>
      <c r="B33" s="122"/>
      <c r="C33" s="387" t="s">
        <v>174</v>
      </c>
      <c r="D33" s="387"/>
      <c r="E33" s="387"/>
      <c r="F33" s="387"/>
      <c r="G33" s="388">
        <f>+SUM(G32:H32)</f>
        <v>50000</v>
      </c>
      <c r="H33" s="388"/>
    </row>
    <row r="35" spans="1:8" x14ac:dyDescent="0.25">
      <c r="A35" s="119" t="s">
        <v>255</v>
      </c>
    </row>
    <row r="36" spans="1:8" x14ac:dyDescent="0.25">
      <c r="A36" s="704" t="s">
        <v>187</v>
      </c>
      <c r="B36" s="704"/>
      <c r="C36" s="123" t="s">
        <v>188</v>
      </c>
      <c r="D36" s="124" t="s">
        <v>189</v>
      </c>
      <c r="E36" s="126" t="s">
        <v>190</v>
      </c>
      <c r="F36" s="127" t="s">
        <v>170</v>
      </c>
      <c r="G36" s="704" t="s">
        <v>171</v>
      </c>
      <c r="H36" s="704"/>
    </row>
    <row r="37" spans="1:8" x14ac:dyDescent="0.25">
      <c r="A37" s="397" t="s">
        <v>201</v>
      </c>
      <c r="B37" s="398"/>
      <c r="C37" s="128">
        <v>60000</v>
      </c>
      <c r="D37" s="322">
        <v>0.85</v>
      </c>
      <c r="E37" s="128">
        <f>+((C37*D37)+C37)</f>
        <v>111000</v>
      </c>
      <c r="F37" s="321">
        <v>20</v>
      </c>
      <c r="G37" s="388">
        <f>+E37/F37</f>
        <v>5550</v>
      </c>
      <c r="H37" s="388"/>
    </row>
    <row r="38" spans="1:8" x14ac:dyDescent="0.25">
      <c r="A38" s="705" t="s">
        <v>229</v>
      </c>
      <c r="B38" s="705"/>
      <c r="C38" s="128">
        <f>35000*4</f>
        <v>140000</v>
      </c>
      <c r="D38" s="322">
        <v>0.85</v>
      </c>
      <c r="E38" s="128">
        <f>+((C38*D38)+C38)</f>
        <v>259000</v>
      </c>
      <c r="F38" s="321">
        <v>20</v>
      </c>
      <c r="G38" s="388">
        <f>+E38/F38</f>
        <v>12950</v>
      </c>
      <c r="H38" s="388"/>
    </row>
    <row r="39" spans="1:8" x14ac:dyDescent="0.25">
      <c r="A39" s="705"/>
      <c r="B39" s="705"/>
      <c r="C39" s="128"/>
      <c r="D39" s="125"/>
      <c r="E39" s="128"/>
      <c r="F39" s="125"/>
      <c r="G39" s="388"/>
      <c r="H39" s="388"/>
    </row>
    <row r="40" spans="1:8" x14ac:dyDescent="0.25">
      <c r="A40" s="122"/>
      <c r="B40" s="122"/>
      <c r="C40" s="387" t="s">
        <v>174</v>
      </c>
      <c r="D40" s="387"/>
      <c r="E40" s="387"/>
      <c r="F40" s="387"/>
      <c r="G40" s="388">
        <f>+G37+G38+G39</f>
        <v>18500</v>
      </c>
      <c r="H40" s="388"/>
    </row>
    <row r="43" spans="1:8" x14ac:dyDescent="0.25">
      <c r="A43" s="382" t="s">
        <v>193</v>
      </c>
      <c r="B43" s="382"/>
      <c r="C43" s="382"/>
      <c r="D43" s="382"/>
      <c r="E43" s="382"/>
      <c r="F43" s="382"/>
      <c r="G43" s="783">
        <f>ROUND(G23+G28+G33+G40,0)</f>
        <v>188000</v>
      </c>
      <c r="H43" s="783"/>
    </row>
    <row r="44" spans="1:8" x14ac:dyDescent="0.25">
      <c r="G44" s="310">
        <f>+G43</f>
        <v>188000</v>
      </c>
    </row>
  </sheetData>
  <mergeCells count="55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C23:F23"/>
    <mergeCell ref="G23:H23"/>
    <mergeCell ref="A22:B22"/>
    <mergeCell ref="C22:D22"/>
    <mergeCell ref="E22:F22"/>
    <mergeCell ref="G22:H22"/>
    <mergeCell ref="A26:B26"/>
    <mergeCell ref="E26:F26"/>
    <mergeCell ref="G26:H26"/>
    <mergeCell ref="A27:B27"/>
    <mergeCell ref="E27:F27"/>
    <mergeCell ref="G27:H27"/>
    <mergeCell ref="C33:F33"/>
    <mergeCell ref="G33:H33"/>
    <mergeCell ref="A36:B36"/>
    <mergeCell ref="G36:H36"/>
    <mergeCell ref="C28:F28"/>
    <mergeCell ref="G28:H28"/>
    <mergeCell ref="A31:B31"/>
    <mergeCell ref="E31:F31"/>
    <mergeCell ref="G31:H31"/>
    <mergeCell ref="A32:B32"/>
    <mergeCell ref="E32:F32"/>
    <mergeCell ref="G32:H32"/>
    <mergeCell ref="C40:F40"/>
    <mergeCell ref="G40:H40"/>
    <mergeCell ref="A43:F43"/>
    <mergeCell ref="G43:H43"/>
    <mergeCell ref="A37:B37"/>
    <mergeCell ref="G37:H37"/>
    <mergeCell ref="A38:B38"/>
    <mergeCell ref="G38:H38"/>
    <mergeCell ref="A39:B39"/>
    <mergeCell ref="G39:H39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9"/>
  <sheetViews>
    <sheetView workbookViewId="0">
      <selection activeCell="G48" sqref="G48:H48"/>
    </sheetView>
  </sheetViews>
  <sheetFormatPr baseColWidth="10" defaultRowHeight="15" x14ac:dyDescent="0.25"/>
  <cols>
    <col min="1" max="2" width="9.28515625" customWidth="1"/>
    <col min="7" max="8" width="9.28515625" customWidth="1"/>
  </cols>
  <sheetData>
    <row r="2" spans="1:8" ht="15.75" thickBot="1" x14ac:dyDescent="0.3"/>
    <row r="3" spans="1:8" ht="18" x14ac:dyDescent="0.25">
      <c r="A3" s="428"/>
      <c r="B3" s="429"/>
      <c r="C3" s="773" t="s">
        <v>160</v>
      </c>
      <c r="D3" s="774"/>
      <c r="E3" s="774"/>
      <c r="F3" s="775"/>
      <c r="G3" s="428"/>
      <c r="H3" s="429"/>
    </row>
    <row r="4" spans="1:8" x14ac:dyDescent="0.25">
      <c r="A4" s="430"/>
      <c r="B4" s="431"/>
      <c r="C4" s="776" t="s">
        <v>85</v>
      </c>
      <c r="D4" s="777"/>
      <c r="E4" s="777"/>
      <c r="F4" s="778"/>
      <c r="G4" s="430"/>
      <c r="H4" s="431"/>
    </row>
    <row r="5" spans="1:8" x14ac:dyDescent="0.25">
      <c r="A5" s="430"/>
      <c r="B5" s="431"/>
      <c r="C5" s="149"/>
      <c r="D5" s="58"/>
      <c r="E5" s="58"/>
      <c r="F5" s="150"/>
      <c r="G5" s="430"/>
      <c r="H5" s="431"/>
    </row>
    <row r="6" spans="1:8" x14ac:dyDescent="0.25">
      <c r="A6" s="430"/>
      <c r="B6" s="431"/>
      <c r="C6" s="776" t="s">
        <v>161</v>
      </c>
      <c r="D6" s="777"/>
      <c r="E6" s="777"/>
      <c r="F6" s="778"/>
      <c r="G6" s="430"/>
      <c r="H6" s="431"/>
    </row>
    <row r="7" spans="1:8" x14ac:dyDescent="0.25">
      <c r="A7" s="430"/>
      <c r="B7" s="431"/>
      <c r="C7" s="776" t="s">
        <v>162</v>
      </c>
      <c r="D7" s="777"/>
      <c r="E7" s="777"/>
      <c r="F7" s="778"/>
      <c r="G7" s="430"/>
      <c r="H7" s="431"/>
    </row>
    <row r="8" spans="1:8" ht="15.75" thickBot="1" x14ac:dyDescent="0.3">
      <c r="A8" s="432"/>
      <c r="B8" s="433"/>
      <c r="C8" s="151"/>
      <c r="D8" s="152"/>
      <c r="E8" s="152"/>
      <c r="F8" s="153"/>
      <c r="G8" s="432"/>
      <c r="H8" s="433"/>
    </row>
    <row r="10" spans="1:8" ht="15.75" thickBot="1" x14ac:dyDescent="0.3">
      <c r="A10" s="779" t="s">
        <v>163</v>
      </c>
      <c r="B10" s="779"/>
      <c r="C10" s="779"/>
      <c r="D10" s="779"/>
      <c r="E10" s="779"/>
      <c r="F10" s="779"/>
      <c r="G10" s="779"/>
      <c r="H10" s="779"/>
    </row>
    <row r="11" spans="1:8" ht="15.75" thickBot="1" x14ac:dyDescent="0.3">
      <c r="A11" s="326"/>
      <c r="B11" s="326"/>
      <c r="C11" s="326"/>
      <c r="D11" s="326"/>
      <c r="E11" s="326"/>
      <c r="F11" s="326"/>
      <c r="G11" s="405" t="s">
        <v>259</v>
      </c>
      <c r="H11" s="406"/>
    </row>
    <row r="12" spans="1:8" ht="15.75" thickBot="1" x14ac:dyDescent="0.3"/>
    <row r="13" spans="1:8" ht="56.25" customHeight="1" x14ac:dyDescent="0.25">
      <c r="A13" s="407" t="s">
        <v>428</v>
      </c>
      <c r="B13" s="408"/>
      <c r="C13" s="408"/>
      <c r="D13" s="408"/>
      <c r="E13" s="408"/>
      <c r="F13" s="408"/>
      <c r="G13" s="408"/>
      <c r="H13" s="409"/>
    </row>
    <row r="14" spans="1:8" x14ac:dyDescent="0.25">
      <c r="A14" s="410"/>
      <c r="B14" s="411"/>
      <c r="C14" s="411"/>
      <c r="D14" s="411"/>
      <c r="E14" s="411"/>
      <c r="F14" s="411"/>
      <c r="G14" s="411"/>
      <c r="H14" s="412"/>
    </row>
    <row r="15" spans="1:8" ht="15.75" thickBot="1" x14ac:dyDescent="0.3">
      <c r="A15" s="413"/>
      <c r="B15" s="414"/>
      <c r="C15" s="414"/>
      <c r="D15" s="414"/>
      <c r="E15" s="414"/>
      <c r="F15" s="414"/>
      <c r="G15" s="414"/>
      <c r="H15" s="415"/>
    </row>
    <row r="16" spans="1:8" ht="15.75" thickBot="1" x14ac:dyDescent="0.3">
      <c r="A16" s="58"/>
    </row>
    <row r="17" spans="1:8" ht="21" customHeight="1" x14ac:dyDescent="0.25">
      <c r="A17" s="416" t="s">
        <v>423</v>
      </c>
      <c r="B17" s="418" t="s">
        <v>425</v>
      </c>
      <c r="C17" s="419"/>
      <c r="D17" s="419"/>
      <c r="E17" s="419"/>
      <c r="F17" s="420"/>
      <c r="G17" s="416" t="s">
        <v>166</v>
      </c>
      <c r="H17" s="780" t="s">
        <v>250</v>
      </c>
    </row>
    <row r="18" spans="1:8" ht="15.75" thickBot="1" x14ac:dyDescent="0.3">
      <c r="A18" s="417"/>
      <c r="B18" s="421"/>
      <c r="C18" s="422"/>
      <c r="D18" s="422"/>
      <c r="E18" s="422"/>
      <c r="F18" s="423"/>
      <c r="G18" s="417"/>
      <c r="H18" s="417"/>
    </row>
    <row r="19" spans="1:8" x14ac:dyDescent="0.25">
      <c r="A19" s="119" t="s">
        <v>168</v>
      </c>
    </row>
    <row r="20" spans="1:8" x14ac:dyDescent="0.25">
      <c r="A20" s="704" t="s">
        <v>1</v>
      </c>
      <c r="B20" s="704"/>
      <c r="C20" s="704" t="s">
        <v>169</v>
      </c>
      <c r="D20" s="704"/>
      <c r="E20" s="704" t="s">
        <v>170</v>
      </c>
      <c r="F20" s="704"/>
      <c r="G20" s="704" t="s">
        <v>171</v>
      </c>
      <c r="H20" s="704"/>
    </row>
    <row r="21" spans="1:8" ht="23.25" customHeight="1" x14ac:dyDescent="0.25">
      <c r="A21" s="393" t="s">
        <v>389</v>
      </c>
      <c r="B21" s="394"/>
      <c r="C21" s="388">
        <v>10000</v>
      </c>
      <c r="D21" s="388"/>
      <c r="E21" s="785">
        <v>8</v>
      </c>
      <c r="F21" s="785"/>
      <c r="G21" s="388">
        <f t="shared" ref="G21:G24" si="0">+C21/E21</f>
        <v>1250</v>
      </c>
      <c r="H21" s="388"/>
    </row>
    <row r="22" spans="1:8" ht="29.25" customHeight="1" x14ac:dyDescent="0.25">
      <c r="A22" s="393" t="s">
        <v>390</v>
      </c>
      <c r="B22" s="394"/>
      <c r="C22" s="380">
        <v>35000</v>
      </c>
      <c r="D22" s="380"/>
      <c r="E22" s="789">
        <v>8</v>
      </c>
      <c r="F22" s="789"/>
      <c r="G22" s="380">
        <f t="shared" si="0"/>
        <v>4375</v>
      </c>
      <c r="H22" s="380"/>
    </row>
    <row r="23" spans="1:8" x14ac:dyDescent="0.25">
      <c r="A23" s="393" t="s">
        <v>391</v>
      </c>
      <c r="B23" s="394"/>
      <c r="C23" s="388">
        <v>12000</v>
      </c>
      <c r="D23" s="388"/>
      <c r="E23" s="785">
        <v>8</v>
      </c>
      <c r="F23" s="785"/>
      <c r="G23" s="388">
        <f t="shared" si="0"/>
        <v>1500</v>
      </c>
      <c r="H23" s="388"/>
    </row>
    <row r="24" spans="1:8" ht="27.75" customHeight="1" x14ac:dyDescent="0.25">
      <c r="A24" s="393" t="s">
        <v>392</v>
      </c>
      <c r="B24" s="394"/>
      <c r="C24" s="380">
        <v>130000</v>
      </c>
      <c r="D24" s="380"/>
      <c r="E24" s="789">
        <v>10</v>
      </c>
      <c r="F24" s="789"/>
      <c r="G24" s="380">
        <f t="shared" si="0"/>
        <v>13000</v>
      </c>
      <c r="H24" s="380"/>
    </row>
    <row r="25" spans="1:8" x14ac:dyDescent="0.25">
      <c r="C25" s="387" t="s">
        <v>174</v>
      </c>
      <c r="D25" s="387"/>
      <c r="E25" s="387"/>
      <c r="F25" s="387"/>
      <c r="G25" s="388">
        <f>SUM(G21:H24)</f>
        <v>20125</v>
      </c>
      <c r="H25" s="388"/>
    </row>
    <row r="26" spans="1:8" x14ac:dyDescent="0.25">
      <c r="C26" s="62"/>
      <c r="D26" s="62"/>
      <c r="E26" s="62"/>
      <c r="F26" s="62"/>
      <c r="G26" s="63"/>
      <c r="H26" s="63"/>
    </row>
    <row r="27" spans="1:8" x14ac:dyDescent="0.25">
      <c r="A27" s="119" t="s">
        <v>175</v>
      </c>
    </row>
    <row r="28" spans="1:8" x14ac:dyDescent="0.25">
      <c r="A28" s="704" t="s">
        <v>1</v>
      </c>
      <c r="B28" s="704"/>
      <c r="C28" s="325" t="s">
        <v>176</v>
      </c>
      <c r="D28" s="325" t="s">
        <v>177</v>
      </c>
      <c r="E28" s="704" t="s">
        <v>3</v>
      </c>
      <c r="F28" s="704"/>
      <c r="G28" s="704" t="s">
        <v>171</v>
      </c>
      <c r="H28" s="704"/>
    </row>
    <row r="29" spans="1:8" ht="39" customHeight="1" x14ac:dyDescent="0.25">
      <c r="A29" s="393" t="s">
        <v>424</v>
      </c>
      <c r="B29" s="394"/>
      <c r="C29" s="67" t="s">
        <v>176</v>
      </c>
      <c r="D29" s="67">
        <v>240000</v>
      </c>
      <c r="E29" s="457">
        <v>1</v>
      </c>
      <c r="F29" s="457"/>
      <c r="G29" s="391">
        <f>+D29*E29</f>
        <v>240000</v>
      </c>
      <c r="H29" s="392"/>
    </row>
    <row r="30" spans="1:8" x14ac:dyDescent="0.25">
      <c r="A30" s="397" t="s">
        <v>397</v>
      </c>
      <c r="B30" s="398"/>
      <c r="C30" s="128" t="s">
        <v>176</v>
      </c>
      <c r="D30" s="128">
        <v>12000</v>
      </c>
      <c r="E30" s="448">
        <v>2</v>
      </c>
      <c r="F30" s="448"/>
      <c r="G30" s="706">
        <f>+D30*E30</f>
        <v>24000</v>
      </c>
      <c r="H30" s="707"/>
    </row>
    <row r="31" spans="1:8" x14ac:dyDescent="0.25">
      <c r="A31" s="397" t="s">
        <v>398</v>
      </c>
      <c r="B31" s="398"/>
      <c r="C31" s="67" t="s">
        <v>176</v>
      </c>
      <c r="D31" s="67">
        <v>7000</v>
      </c>
      <c r="E31" s="457">
        <v>4</v>
      </c>
      <c r="F31" s="457"/>
      <c r="G31" s="391">
        <f>+D31*E31</f>
        <v>28000</v>
      </c>
      <c r="H31" s="392"/>
    </row>
    <row r="32" spans="1:8" x14ac:dyDescent="0.25">
      <c r="A32" s="122"/>
      <c r="B32" s="122"/>
      <c r="C32" s="387" t="s">
        <v>174</v>
      </c>
      <c r="D32" s="387"/>
      <c r="E32" s="387"/>
      <c r="F32" s="387"/>
      <c r="G32" s="388">
        <f>SUM(G29:H31)</f>
        <v>292000</v>
      </c>
      <c r="H32" s="388"/>
    </row>
    <row r="34" spans="1:8" x14ac:dyDescent="0.25">
      <c r="A34" s="119" t="s">
        <v>253</v>
      </c>
    </row>
    <row r="35" spans="1:8" x14ac:dyDescent="0.25">
      <c r="A35" s="704" t="s">
        <v>182</v>
      </c>
      <c r="B35" s="704"/>
      <c r="C35" s="123" t="s">
        <v>183</v>
      </c>
      <c r="D35" s="124" t="s">
        <v>184</v>
      </c>
      <c r="E35" s="704" t="s">
        <v>185</v>
      </c>
      <c r="F35" s="704"/>
      <c r="G35" s="704" t="s">
        <v>171</v>
      </c>
      <c r="H35" s="704"/>
    </row>
    <row r="36" spans="1:8" ht="39.75" customHeight="1" x14ac:dyDescent="0.25">
      <c r="A36" s="393" t="str">
        <f>+A29</f>
        <v>Traviesa de concreto para trocha yárdica. Incluye hombros bipata</v>
      </c>
      <c r="B36" s="394"/>
      <c r="C36" s="66">
        <v>1</v>
      </c>
      <c r="D36" s="66">
        <v>350</v>
      </c>
      <c r="E36" s="380">
        <v>6</v>
      </c>
      <c r="F36" s="380"/>
      <c r="G36" s="380">
        <f>+C36*D36*E36</f>
        <v>2100</v>
      </c>
      <c r="H36" s="380"/>
    </row>
    <row r="37" spans="1:8" x14ac:dyDescent="0.25">
      <c r="A37" s="397" t="s">
        <v>398</v>
      </c>
      <c r="B37" s="398"/>
      <c r="C37" s="66">
        <v>1</v>
      </c>
      <c r="D37" s="66">
        <v>350</v>
      </c>
      <c r="E37" s="380">
        <v>0.5</v>
      </c>
      <c r="F37" s="380"/>
      <c r="G37" s="380">
        <f>+C37*D37*E37</f>
        <v>175</v>
      </c>
      <c r="H37" s="380"/>
    </row>
    <row r="38" spans="1:8" x14ac:dyDescent="0.25">
      <c r="A38" s="122"/>
      <c r="B38" s="122"/>
      <c r="C38" s="387" t="s">
        <v>174</v>
      </c>
      <c r="D38" s="387"/>
      <c r="E38" s="387"/>
      <c r="F38" s="387"/>
      <c r="G38" s="388">
        <f>+SUM(G36:H37)</f>
        <v>2275</v>
      </c>
      <c r="H38" s="388"/>
    </row>
    <row r="40" spans="1:8" x14ac:dyDescent="0.25">
      <c r="A40" s="119" t="s">
        <v>255</v>
      </c>
    </row>
    <row r="41" spans="1:8" x14ac:dyDescent="0.25">
      <c r="A41" s="704" t="s">
        <v>187</v>
      </c>
      <c r="B41" s="704"/>
      <c r="C41" s="123" t="s">
        <v>188</v>
      </c>
      <c r="D41" s="124" t="s">
        <v>189</v>
      </c>
      <c r="E41" s="126" t="s">
        <v>190</v>
      </c>
      <c r="F41" s="127" t="s">
        <v>170</v>
      </c>
      <c r="G41" s="704" t="s">
        <v>171</v>
      </c>
      <c r="H41" s="704"/>
    </row>
    <row r="42" spans="1:8" x14ac:dyDescent="0.25">
      <c r="A42" s="397" t="s">
        <v>201</v>
      </c>
      <c r="B42" s="398"/>
      <c r="C42" s="128">
        <v>60000</v>
      </c>
      <c r="D42" s="322">
        <v>0.85</v>
      </c>
      <c r="E42" s="128">
        <f>+((C42*D42)+C42)</f>
        <v>111000</v>
      </c>
      <c r="F42" s="321">
        <v>20</v>
      </c>
      <c r="G42" s="388">
        <f>+E42/F42</f>
        <v>5550</v>
      </c>
      <c r="H42" s="388"/>
    </row>
    <row r="43" spans="1:8" x14ac:dyDescent="0.25">
      <c r="A43" s="705" t="s">
        <v>229</v>
      </c>
      <c r="B43" s="705"/>
      <c r="C43" s="128">
        <f>35000*4</f>
        <v>140000</v>
      </c>
      <c r="D43" s="322">
        <v>0.85</v>
      </c>
      <c r="E43" s="128">
        <f>+((C43*D43)+C43)</f>
        <v>259000</v>
      </c>
      <c r="F43" s="321">
        <v>20</v>
      </c>
      <c r="G43" s="388">
        <f>+E43/F43</f>
        <v>12950</v>
      </c>
      <c r="H43" s="388"/>
    </row>
    <row r="44" spans="1:8" x14ac:dyDescent="0.25">
      <c r="A44" s="705"/>
      <c r="B44" s="705"/>
      <c r="C44" s="128"/>
      <c r="D44" s="125"/>
      <c r="E44" s="128"/>
      <c r="F44" s="125"/>
      <c r="G44" s="388"/>
      <c r="H44" s="388"/>
    </row>
    <row r="45" spans="1:8" x14ac:dyDescent="0.25">
      <c r="A45" s="122"/>
      <c r="B45" s="122"/>
      <c r="C45" s="387" t="s">
        <v>174</v>
      </c>
      <c r="D45" s="387"/>
      <c r="E45" s="387"/>
      <c r="F45" s="387"/>
      <c r="G45" s="388">
        <f>+G42+G43+G44</f>
        <v>18500</v>
      </c>
      <c r="H45" s="388"/>
    </row>
    <row r="48" spans="1:8" x14ac:dyDescent="0.25">
      <c r="A48" s="382" t="s">
        <v>193</v>
      </c>
      <c r="B48" s="382"/>
      <c r="C48" s="382"/>
      <c r="D48" s="382"/>
      <c r="E48" s="382"/>
      <c r="F48" s="382"/>
      <c r="G48" s="783">
        <f>ROUND(G25+G32+G38+G45,0)</f>
        <v>332900</v>
      </c>
      <c r="H48" s="783"/>
    </row>
    <row r="49" spans="7:7" x14ac:dyDescent="0.25">
      <c r="G49" s="310">
        <f>+G48</f>
        <v>332900</v>
      </c>
    </row>
  </sheetData>
  <mergeCells count="72">
    <mergeCell ref="A3:B8"/>
    <mergeCell ref="C3:F3"/>
    <mergeCell ref="G3:H8"/>
    <mergeCell ref="C4:F4"/>
    <mergeCell ref="C6:F6"/>
    <mergeCell ref="C7:F7"/>
    <mergeCell ref="A10:H10"/>
    <mergeCell ref="G11:H11"/>
    <mergeCell ref="A13:H15"/>
    <mergeCell ref="A17:A18"/>
    <mergeCell ref="B17:F18"/>
    <mergeCell ref="G17:G18"/>
    <mergeCell ref="H17:H18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C25:F25"/>
    <mergeCell ref="G25:H25"/>
    <mergeCell ref="A24:B24"/>
    <mergeCell ref="C24:D24"/>
    <mergeCell ref="E24:F24"/>
    <mergeCell ref="G24:H24"/>
    <mergeCell ref="A31:B31"/>
    <mergeCell ref="E31:F31"/>
    <mergeCell ref="G31:H31"/>
    <mergeCell ref="A28:B28"/>
    <mergeCell ref="E28:F28"/>
    <mergeCell ref="G28:H28"/>
    <mergeCell ref="A29:B29"/>
    <mergeCell ref="E29:F29"/>
    <mergeCell ref="G29:H29"/>
    <mergeCell ref="A30:B30"/>
    <mergeCell ref="E30:F30"/>
    <mergeCell ref="G30:H30"/>
    <mergeCell ref="A41:B41"/>
    <mergeCell ref="G41:H41"/>
    <mergeCell ref="C32:F32"/>
    <mergeCell ref="G32:H32"/>
    <mergeCell ref="A35:B35"/>
    <mergeCell ref="E35:F35"/>
    <mergeCell ref="G35:H35"/>
    <mergeCell ref="A36:B36"/>
    <mergeCell ref="E36:F36"/>
    <mergeCell ref="G36:H36"/>
    <mergeCell ref="A37:B37"/>
    <mergeCell ref="E37:F37"/>
    <mergeCell ref="G37:H37"/>
    <mergeCell ref="C38:F38"/>
    <mergeCell ref="G38:H38"/>
    <mergeCell ref="C45:F45"/>
    <mergeCell ref="G45:H45"/>
    <mergeCell ref="A48:F48"/>
    <mergeCell ref="G48:H48"/>
    <mergeCell ref="A42:B42"/>
    <mergeCell ref="G42:H42"/>
    <mergeCell ref="A43:B43"/>
    <mergeCell ref="G43:H43"/>
    <mergeCell ref="A44:B44"/>
    <mergeCell ref="G44:H44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workbookViewId="0">
      <selection activeCell="G42" sqref="G42:H42"/>
    </sheetView>
  </sheetViews>
  <sheetFormatPr baseColWidth="10" defaultRowHeight="15" x14ac:dyDescent="0.25"/>
  <cols>
    <col min="1" max="1" width="9.28515625" customWidth="1"/>
    <col min="2" max="2" width="18.140625" customWidth="1"/>
    <col min="3" max="3" width="10.7109375" customWidth="1"/>
    <col min="4" max="4" width="13" bestFit="1" customWidth="1"/>
    <col min="7" max="8" width="9.28515625" customWidth="1"/>
    <col min="16" max="16" width="15.85546875" bestFit="1" customWidth="1"/>
    <col min="257" max="257" width="9.28515625" customWidth="1"/>
    <col min="258" max="258" width="18.140625" customWidth="1"/>
    <col min="259" max="259" width="10.7109375" customWidth="1"/>
    <col min="260" max="260" width="12.140625" customWidth="1"/>
    <col min="263" max="264" width="9.28515625" customWidth="1"/>
    <col min="272" max="272" width="15.85546875" bestFit="1" customWidth="1"/>
    <col min="513" max="513" width="9.28515625" customWidth="1"/>
    <col min="514" max="514" width="18.140625" customWidth="1"/>
    <col min="515" max="515" width="10.7109375" customWidth="1"/>
    <col min="516" max="516" width="12.140625" customWidth="1"/>
    <col min="519" max="520" width="9.28515625" customWidth="1"/>
    <col min="528" max="528" width="15.85546875" bestFit="1" customWidth="1"/>
    <col min="769" max="769" width="9.28515625" customWidth="1"/>
    <col min="770" max="770" width="18.140625" customWidth="1"/>
    <col min="771" max="771" width="10.7109375" customWidth="1"/>
    <col min="772" max="772" width="12.140625" customWidth="1"/>
    <col min="775" max="776" width="9.28515625" customWidth="1"/>
    <col min="784" max="784" width="15.85546875" bestFit="1" customWidth="1"/>
    <col min="1025" max="1025" width="9.28515625" customWidth="1"/>
    <col min="1026" max="1026" width="18.140625" customWidth="1"/>
    <col min="1027" max="1027" width="10.7109375" customWidth="1"/>
    <col min="1028" max="1028" width="12.140625" customWidth="1"/>
    <col min="1031" max="1032" width="9.28515625" customWidth="1"/>
    <col min="1040" max="1040" width="15.85546875" bestFit="1" customWidth="1"/>
    <col min="1281" max="1281" width="9.28515625" customWidth="1"/>
    <col min="1282" max="1282" width="18.140625" customWidth="1"/>
    <col min="1283" max="1283" width="10.7109375" customWidth="1"/>
    <col min="1284" max="1284" width="12.140625" customWidth="1"/>
    <col min="1287" max="1288" width="9.28515625" customWidth="1"/>
    <col min="1296" max="1296" width="15.85546875" bestFit="1" customWidth="1"/>
    <col min="1537" max="1537" width="9.28515625" customWidth="1"/>
    <col min="1538" max="1538" width="18.140625" customWidth="1"/>
    <col min="1539" max="1539" width="10.7109375" customWidth="1"/>
    <col min="1540" max="1540" width="12.140625" customWidth="1"/>
    <col min="1543" max="1544" width="9.28515625" customWidth="1"/>
    <col min="1552" max="1552" width="15.85546875" bestFit="1" customWidth="1"/>
    <col min="1793" max="1793" width="9.28515625" customWidth="1"/>
    <col min="1794" max="1794" width="18.140625" customWidth="1"/>
    <col min="1795" max="1795" width="10.7109375" customWidth="1"/>
    <col min="1796" max="1796" width="12.140625" customWidth="1"/>
    <col min="1799" max="1800" width="9.28515625" customWidth="1"/>
    <col min="1808" max="1808" width="15.85546875" bestFit="1" customWidth="1"/>
    <col min="2049" max="2049" width="9.28515625" customWidth="1"/>
    <col min="2050" max="2050" width="18.140625" customWidth="1"/>
    <col min="2051" max="2051" width="10.7109375" customWidth="1"/>
    <col min="2052" max="2052" width="12.140625" customWidth="1"/>
    <col min="2055" max="2056" width="9.28515625" customWidth="1"/>
    <col min="2064" max="2064" width="15.85546875" bestFit="1" customWidth="1"/>
    <col min="2305" max="2305" width="9.28515625" customWidth="1"/>
    <col min="2306" max="2306" width="18.140625" customWidth="1"/>
    <col min="2307" max="2307" width="10.7109375" customWidth="1"/>
    <col min="2308" max="2308" width="12.140625" customWidth="1"/>
    <col min="2311" max="2312" width="9.28515625" customWidth="1"/>
    <col min="2320" max="2320" width="15.85546875" bestFit="1" customWidth="1"/>
    <col min="2561" max="2561" width="9.28515625" customWidth="1"/>
    <col min="2562" max="2562" width="18.140625" customWidth="1"/>
    <col min="2563" max="2563" width="10.7109375" customWidth="1"/>
    <col min="2564" max="2564" width="12.140625" customWidth="1"/>
    <col min="2567" max="2568" width="9.28515625" customWidth="1"/>
    <col min="2576" max="2576" width="15.85546875" bestFit="1" customWidth="1"/>
    <col min="2817" max="2817" width="9.28515625" customWidth="1"/>
    <col min="2818" max="2818" width="18.140625" customWidth="1"/>
    <col min="2819" max="2819" width="10.7109375" customWidth="1"/>
    <col min="2820" max="2820" width="12.140625" customWidth="1"/>
    <col min="2823" max="2824" width="9.28515625" customWidth="1"/>
    <col min="2832" max="2832" width="15.85546875" bestFit="1" customWidth="1"/>
    <col min="3073" max="3073" width="9.28515625" customWidth="1"/>
    <col min="3074" max="3074" width="18.140625" customWidth="1"/>
    <col min="3075" max="3075" width="10.7109375" customWidth="1"/>
    <col min="3076" max="3076" width="12.140625" customWidth="1"/>
    <col min="3079" max="3080" width="9.28515625" customWidth="1"/>
    <col min="3088" max="3088" width="15.85546875" bestFit="1" customWidth="1"/>
    <col min="3329" max="3329" width="9.28515625" customWidth="1"/>
    <col min="3330" max="3330" width="18.140625" customWidth="1"/>
    <col min="3331" max="3331" width="10.7109375" customWidth="1"/>
    <col min="3332" max="3332" width="12.140625" customWidth="1"/>
    <col min="3335" max="3336" width="9.28515625" customWidth="1"/>
    <col min="3344" max="3344" width="15.85546875" bestFit="1" customWidth="1"/>
    <col min="3585" max="3585" width="9.28515625" customWidth="1"/>
    <col min="3586" max="3586" width="18.140625" customWidth="1"/>
    <col min="3587" max="3587" width="10.7109375" customWidth="1"/>
    <col min="3588" max="3588" width="12.140625" customWidth="1"/>
    <col min="3591" max="3592" width="9.28515625" customWidth="1"/>
    <col min="3600" max="3600" width="15.85546875" bestFit="1" customWidth="1"/>
    <col min="3841" max="3841" width="9.28515625" customWidth="1"/>
    <col min="3842" max="3842" width="18.140625" customWidth="1"/>
    <col min="3843" max="3843" width="10.7109375" customWidth="1"/>
    <col min="3844" max="3844" width="12.140625" customWidth="1"/>
    <col min="3847" max="3848" width="9.28515625" customWidth="1"/>
    <col min="3856" max="3856" width="15.85546875" bestFit="1" customWidth="1"/>
    <col min="4097" max="4097" width="9.28515625" customWidth="1"/>
    <col min="4098" max="4098" width="18.140625" customWidth="1"/>
    <col min="4099" max="4099" width="10.7109375" customWidth="1"/>
    <col min="4100" max="4100" width="12.140625" customWidth="1"/>
    <col min="4103" max="4104" width="9.28515625" customWidth="1"/>
    <col min="4112" max="4112" width="15.85546875" bestFit="1" customWidth="1"/>
    <col min="4353" max="4353" width="9.28515625" customWidth="1"/>
    <col min="4354" max="4354" width="18.140625" customWidth="1"/>
    <col min="4355" max="4355" width="10.7109375" customWidth="1"/>
    <col min="4356" max="4356" width="12.140625" customWidth="1"/>
    <col min="4359" max="4360" width="9.28515625" customWidth="1"/>
    <col min="4368" max="4368" width="15.85546875" bestFit="1" customWidth="1"/>
    <col min="4609" max="4609" width="9.28515625" customWidth="1"/>
    <col min="4610" max="4610" width="18.140625" customWidth="1"/>
    <col min="4611" max="4611" width="10.7109375" customWidth="1"/>
    <col min="4612" max="4612" width="12.140625" customWidth="1"/>
    <col min="4615" max="4616" width="9.28515625" customWidth="1"/>
    <col min="4624" max="4624" width="15.85546875" bestFit="1" customWidth="1"/>
    <col min="4865" max="4865" width="9.28515625" customWidth="1"/>
    <col min="4866" max="4866" width="18.140625" customWidth="1"/>
    <col min="4867" max="4867" width="10.7109375" customWidth="1"/>
    <col min="4868" max="4868" width="12.140625" customWidth="1"/>
    <col min="4871" max="4872" width="9.28515625" customWidth="1"/>
    <col min="4880" max="4880" width="15.85546875" bestFit="1" customWidth="1"/>
    <col min="5121" max="5121" width="9.28515625" customWidth="1"/>
    <col min="5122" max="5122" width="18.140625" customWidth="1"/>
    <col min="5123" max="5123" width="10.7109375" customWidth="1"/>
    <col min="5124" max="5124" width="12.140625" customWidth="1"/>
    <col min="5127" max="5128" width="9.28515625" customWidth="1"/>
    <col min="5136" max="5136" width="15.85546875" bestFit="1" customWidth="1"/>
    <col min="5377" max="5377" width="9.28515625" customWidth="1"/>
    <col min="5378" max="5378" width="18.140625" customWidth="1"/>
    <col min="5379" max="5379" width="10.7109375" customWidth="1"/>
    <col min="5380" max="5380" width="12.140625" customWidth="1"/>
    <col min="5383" max="5384" width="9.28515625" customWidth="1"/>
    <col min="5392" max="5392" width="15.85546875" bestFit="1" customWidth="1"/>
    <col min="5633" max="5633" width="9.28515625" customWidth="1"/>
    <col min="5634" max="5634" width="18.140625" customWidth="1"/>
    <col min="5635" max="5635" width="10.7109375" customWidth="1"/>
    <col min="5636" max="5636" width="12.140625" customWidth="1"/>
    <col min="5639" max="5640" width="9.28515625" customWidth="1"/>
    <col min="5648" max="5648" width="15.85546875" bestFit="1" customWidth="1"/>
    <col min="5889" max="5889" width="9.28515625" customWidth="1"/>
    <col min="5890" max="5890" width="18.140625" customWidth="1"/>
    <col min="5891" max="5891" width="10.7109375" customWidth="1"/>
    <col min="5892" max="5892" width="12.140625" customWidth="1"/>
    <col min="5895" max="5896" width="9.28515625" customWidth="1"/>
    <col min="5904" max="5904" width="15.85546875" bestFit="1" customWidth="1"/>
    <col min="6145" max="6145" width="9.28515625" customWidth="1"/>
    <col min="6146" max="6146" width="18.140625" customWidth="1"/>
    <col min="6147" max="6147" width="10.7109375" customWidth="1"/>
    <col min="6148" max="6148" width="12.140625" customWidth="1"/>
    <col min="6151" max="6152" width="9.28515625" customWidth="1"/>
    <col min="6160" max="6160" width="15.85546875" bestFit="1" customWidth="1"/>
    <col min="6401" max="6401" width="9.28515625" customWidth="1"/>
    <col min="6402" max="6402" width="18.140625" customWidth="1"/>
    <col min="6403" max="6403" width="10.7109375" customWidth="1"/>
    <col min="6404" max="6404" width="12.140625" customWidth="1"/>
    <col min="6407" max="6408" width="9.28515625" customWidth="1"/>
    <col min="6416" max="6416" width="15.85546875" bestFit="1" customWidth="1"/>
    <col min="6657" max="6657" width="9.28515625" customWidth="1"/>
    <col min="6658" max="6658" width="18.140625" customWidth="1"/>
    <col min="6659" max="6659" width="10.7109375" customWidth="1"/>
    <col min="6660" max="6660" width="12.140625" customWidth="1"/>
    <col min="6663" max="6664" width="9.28515625" customWidth="1"/>
    <col min="6672" max="6672" width="15.85546875" bestFit="1" customWidth="1"/>
    <col min="6913" max="6913" width="9.28515625" customWidth="1"/>
    <col min="6914" max="6914" width="18.140625" customWidth="1"/>
    <col min="6915" max="6915" width="10.7109375" customWidth="1"/>
    <col min="6916" max="6916" width="12.140625" customWidth="1"/>
    <col min="6919" max="6920" width="9.28515625" customWidth="1"/>
    <col min="6928" max="6928" width="15.85546875" bestFit="1" customWidth="1"/>
    <col min="7169" max="7169" width="9.28515625" customWidth="1"/>
    <col min="7170" max="7170" width="18.140625" customWidth="1"/>
    <col min="7171" max="7171" width="10.7109375" customWidth="1"/>
    <col min="7172" max="7172" width="12.140625" customWidth="1"/>
    <col min="7175" max="7176" width="9.28515625" customWidth="1"/>
    <col min="7184" max="7184" width="15.85546875" bestFit="1" customWidth="1"/>
    <col min="7425" max="7425" width="9.28515625" customWidth="1"/>
    <col min="7426" max="7426" width="18.140625" customWidth="1"/>
    <col min="7427" max="7427" width="10.7109375" customWidth="1"/>
    <col min="7428" max="7428" width="12.140625" customWidth="1"/>
    <col min="7431" max="7432" width="9.28515625" customWidth="1"/>
    <col min="7440" max="7440" width="15.85546875" bestFit="1" customWidth="1"/>
    <col min="7681" max="7681" width="9.28515625" customWidth="1"/>
    <col min="7682" max="7682" width="18.140625" customWidth="1"/>
    <col min="7683" max="7683" width="10.7109375" customWidth="1"/>
    <col min="7684" max="7684" width="12.140625" customWidth="1"/>
    <col min="7687" max="7688" width="9.28515625" customWidth="1"/>
    <col min="7696" max="7696" width="15.85546875" bestFit="1" customWidth="1"/>
    <col min="7937" max="7937" width="9.28515625" customWidth="1"/>
    <col min="7938" max="7938" width="18.140625" customWidth="1"/>
    <col min="7939" max="7939" width="10.7109375" customWidth="1"/>
    <col min="7940" max="7940" width="12.140625" customWidth="1"/>
    <col min="7943" max="7944" width="9.28515625" customWidth="1"/>
    <col min="7952" max="7952" width="15.85546875" bestFit="1" customWidth="1"/>
    <col min="8193" max="8193" width="9.28515625" customWidth="1"/>
    <col min="8194" max="8194" width="18.140625" customWidth="1"/>
    <col min="8195" max="8195" width="10.7109375" customWidth="1"/>
    <col min="8196" max="8196" width="12.140625" customWidth="1"/>
    <col min="8199" max="8200" width="9.28515625" customWidth="1"/>
    <col min="8208" max="8208" width="15.85546875" bestFit="1" customWidth="1"/>
    <col min="8449" max="8449" width="9.28515625" customWidth="1"/>
    <col min="8450" max="8450" width="18.140625" customWidth="1"/>
    <col min="8451" max="8451" width="10.7109375" customWidth="1"/>
    <col min="8452" max="8452" width="12.140625" customWidth="1"/>
    <col min="8455" max="8456" width="9.28515625" customWidth="1"/>
    <col min="8464" max="8464" width="15.85546875" bestFit="1" customWidth="1"/>
    <col min="8705" max="8705" width="9.28515625" customWidth="1"/>
    <col min="8706" max="8706" width="18.140625" customWidth="1"/>
    <col min="8707" max="8707" width="10.7109375" customWidth="1"/>
    <col min="8708" max="8708" width="12.140625" customWidth="1"/>
    <col min="8711" max="8712" width="9.28515625" customWidth="1"/>
    <col min="8720" max="8720" width="15.85546875" bestFit="1" customWidth="1"/>
    <col min="8961" max="8961" width="9.28515625" customWidth="1"/>
    <col min="8962" max="8962" width="18.140625" customWidth="1"/>
    <col min="8963" max="8963" width="10.7109375" customWidth="1"/>
    <col min="8964" max="8964" width="12.140625" customWidth="1"/>
    <col min="8967" max="8968" width="9.28515625" customWidth="1"/>
    <col min="8976" max="8976" width="15.85546875" bestFit="1" customWidth="1"/>
    <col min="9217" max="9217" width="9.28515625" customWidth="1"/>
    <col min="9218" max="9218" width="18.140625" customWidth="1"/>
    <col min="9219" max="9219" width="10.7109375" customWidth="1"/>
    <col min="9220" max="9220" width="12.140625" customWidth="1"/>
    <col min="9223" max="9224" width="9.28515625" customWidth="1"/>
    <col min="9232" max="9232" width="15.85546875" bestFit="1" customWidth="1"/>
    <col min="9473" max="9473" width="9.28515625" customWidth="1"/>
    <col min="9474" max="9474" width="18.140625" customWidth="1"/>
    <col min="9475" max="9475" width="10.7109375" customWidth="1"/>
    <col min="9476" max="9476" width="12.140625" customWidth="1"/>
    <col min="9479" max="9480" width="9.28515625" customWidth="1"/>
    <col min="9488" max="9488" width="15.85546875" bestFit="1" customWidth="1"/>
    <col min="9729" max="9729" width="9.28515625" customWidth="1"/>
    <col min="9730" max="9730" width="18.140625" customWidth="1"/>
    <col min="9731" max="9731" width="10.7109375" customWidth="1"/>
    <col min="9732" max="9732" width="12.140625" customWidth="1"/>
    <col min="9735" max="9736" width="9.28515625" customWidth="1"/>
    <col min="9744" max="9744" width="15.85546875" bestFit="1" customWidth="1"/>
    <col min="9985" max="9985" width="9.28515625" customWidth="1"/>
    <col min="9986" max="9986" width="18.140625" customWidth="1"/>
    <col min="9987" max="9987" width="10.7109375" customWidth="1"/>
    <col min="9988" max="9988" width="12.140625" customWidth="1"/>
    <col min="9991" max="9992" width="9.28515625" customWidth="1"/>
    <col min="10000" max="10000" width="15.85546875" bestFit="1" customWidth="1"/>
    <col min="10241" max="10241" width="9.28515625" customWidth="1"/>
    <col min="10242" max="10242" width="18.140625" customWidth="1"/>
    <col min="10243" max="10243" width="10.7109375" customWidth="1"/>
    <col min="10244" max="10244" width="12.140625" customWidth="1"/>
    <col min="10247" max="10248" width="9.28515625" customWidth="1"/>
    <col min="10256" max="10256" width="15.85546875" bestFit="1" customWidth="1"/>
    <col min="10497" max="10497" width="9.28515625" customWidth="1"/>
    <col min="10498" max="10498" width="18.140625" customWidth="1"/>
    <col min="10499" max="10499" width="10.7109375" customWidth="1"/>
    <col min="10500" max="10500" width="12.140625" customWidth="1"/>
    <col min="10503" max="10504" width="9.28515625" customWidth="1"/>
    <col min="10512" max="10512" width="15.85546875" bestFit="1" customWidth="1"/>
    <col min="10753" max="10753" width="9.28515625" customWidth="1"/>
    <col min="10754" max="10754" width="18.140625" customWidth="1"/>
    <col min="10755" max="10755" width="10.7109375" customWidth="1"/>
    <col min="10756" max="10756" width="12.140625" customWidth="1"/>
    <col min="10759" max="10760" width="9.28515625" customWidth="1"/>
    <col min="10768" max="10768" width="15.85546875" bestFit="1" customWidth="1"/>
    <col min="11009" max="11009" width="9.28515625" customWidth="1"/>
    <col min="11010" max="11010" width="18.140625" customWidth="1"/>
    <col min="11011" max="11011" width="10.7109375" customWidth="1"/>
    <col min="11012" max="11012" width="12.140625" customWidth="1"/>
    <col min="11015" max="11016" width="9.28515625" customWidth="1"/>
    <col min="11024" max="11024" width="15.85546875" bestFit="1" customWidth="1"/>
    <col min="11265" max="11265" width="9.28515625" customWidth="1"/>
    <col min="11266" max="11266" width="18.140625" customWidth="1"/>
    <col min="11267" max="11267" width="10.7109375" customWidth="1"/>
    <col min="11268" max="11268" width="12.140625" customWidth="1"/>
    <col min="11271" max="11272" width="9.28515625" customWidth="1"/>
    <col min="11280" max="11280" width="15.85546875" bestFit="1" customWidth="1"/>
    <col min="11521" max="11521" width="9.28515625" customWidth="1"/>
    <col min="11522" max="11522" width="18.140625" customWidth="1"/>
    <col min="11523" max="11523" width="10.7109375" customWidth="1"/>
    <col min="11524" max="11524" width="12.140625" customWidth="1"/>
    <col min="11527" max="11528" width="9.28515625" customWidth="1"/>
    <col min="11536" max="11536" width="15.85546875" bestFit="1" customWidth="1"/>
    <col min="11777" max="11777" width="9.28515625" customWidth="1"/>
    <col min="11778" max="11778" width="18.140625" customWidth="1"/>
    <col min="11779" max="11779" width="10.7109375" customWidth="1"/>
    <col min="11780" max="11780" width="12.140625" customWidth="1"/>
    <col min="11783" max="11784" width="9.28515625" customWidth="1"/>
    <col min="11792" max="11792" width="15.85546875" bestFit="1" customWidth="1"/>
    <col min="12033" max="12033" width="9.28515625" customWidth="1"/>
    <col min="12034" max="12034" width="18.140625" customWidth="1"/>
    <col min="12035" max="12035" width="10.7109375" customWidth="1"/>
    <col min="12036" max="12036" width="12.140625" customWidth="1"/>
    <col min="12039" max="12040" width="9.28515625" customWidth="1"/>
    <col min="12048" max="12048" width="15.85546875" bestFit="1" customWidth="1"/>
    <col min="12289" max="12289" width="9.28515625" customWidth="1"/>
    <col min="12290" max="12290" width="18.140625" customWidth="1"/>
    <col min="12291" max="12291" width="10.7109375" customWidth="1"/>
    <col min="12292" max="12292" width="12.140625" customWidth="1"/>
    <col min="12295" max="12296" width="9.28515625" customWidth="1"/>
    <col min="12304" max="12304" width="15.85546875" bestFit="1" customWidth="1"/>
    <col min="12545" max="12545" width="9.28515625" customWidth="1"/>
    <col min="12546" max="12546" width="18.140625" customWidth="1"/>
    <col min="12547" max="12547" width="10.7109375" customWidth="1"/>
    <col min="12548" max="12548" width="12.140625" customWidth="1"/>
    <col min="12551" max="12552" width="9.28515625" customWidth="1"/>
    <col min="12560" max="12560" width="15.85546875" bestFit="1" customWidth="1"/>
    <col min="12801" max="12801" width="9.28515625" customWidth="1"/>
    <col min="12802" max="12802" width="18.140625" customWidth="1"/>
    <col min="12803" max="12803" width="10.7109375" customWidth="1"/>
    <col min="12804" max="12804" width="12.140625" customWidth="1"/>
    <col min="12807" max="12808" width="9.28515625" customWidth="1"/>
    <col min="12816" max="12816" width="15.85546875" bestFit="1" customWidth="1"/>
    <col min="13057" max="13057" width="9.28515625" customWidth="1"/>
    <col min="13058" max="13058" width="18.140625" customWidth="1"/>
    <col min="13059" max="13059" width="10.7109375" customWidth="1"/>
    <col min="13060" max="13060" width="12.140625" customWidth="1"/>
    <col min="13063" max="13064" width="9.28515625" customWidth="1"/>
    <col min="13072" max="13072" width="15.85546875" bestFit="1" customWidth="1"/>
    <col min="13313" max="13313" width="9.28515625" customWidth="1"/>
    <col min="13314" max="13314" width="18.140625" customWidth="1"/>
    <col min="13315" max="13315" width="10.7109375" customWidth="1"/>
    <col min="13316" max="13316" width="12.140625" customWidth="1"/>
    <col min="13319" max="13320" width="9.28515625" customWidth="1"/>
    <col min="13328" max="13328" width="15.85546875" bestFit="1" customWidth="1"/>
    <col min="13569" max="13569" width="9.28515625" customWidth="1"/>
    <col min="13570" max="13570" width="18.140625" customWidth="1"/>
    <col min="13571" max="13571" width="10.7109375" customWidth="1"/>
    <col min="13572" max="13572" width="12.140625" customWidth="1"/>
    <col min="13575" max="13576" width="9.28515625" customWidth="1"/>
    <col min="13584" max="13584" width="15.85546875" bestFit="1" customWidth="1"/>
    <col min="13825" max="13825" width="9.28515625" customWidth="1"/>
    <col min="13826" max="13826" width="18.140625" customWidth="1"/>
    <col min="13827" max="13827" width="10.7109375" customWidth="1"/>
    <col min="13828" max="13828" width="12.140625" customWidth="1"/>
    <col min="13831" max="13832" width="9.28515625" customWidth="1"/>
    <col min="13840" max="13840" width="15.85546875" bestFit="1" customWidth="1"/>
    <col min="14081" max="14081" width="9.28515625" customWidth="1"/>
    <col min="14082" max="14082" width="18.140625" customWidth="1"/>
    <col min="14083" max="14083" width="10.7109375" customWidth="1"/>
    <col min="14084" max="14084" width="12.140625" customWidth="1"/>
    <col min="14087" max="14088" width="9.28515625" customWidth="1"/>
    <col min="14096" max="14096" width="15.85546875" bestFit="1" customWidth="1"/>
    <col min="14337" max="14337" width="9.28515625" customWidth="1"/>
    <col min="14338" max="14338" width="18.140625" customWidth="1"/>
    <col min="14339" max="14339" width="10.7109375" customWidth="1"/>
    <col min="14340" max="14340" width="12.140625" customWidth="1"/>
    <col min="14343" max="14344" width="9.28515625" customWidth="1"/>
    <col min="14352" max="14352" width="15.85546875" bestFit="1" customWidth="1"/>
    <col min="14593" max="14593" width="9.28515625" customWidth="1"/>
    <col min="14594" max="14594" width="18.140625" customWidth="1"/>
    <col min="14595" max="14595" width="10.7109375" customWidth="1"/>
    <col min="14596" max="14596" width="12.140625" customWidth="1"/>
    <col min="14599" max="14600" width="9.28515625" customWidth="1"/>
    <col min="14608" max="14608" width="15.85546875" bestFit="1" customWidth="1"/>
    <col min="14849" max="14849" width="9.28515625" customWidth="1"/>
    <col min="14850" max="14850" width="18.140625" customWidth="1"/>
    <col min="14851" max="14851" width="10.7109375" customWidth="1"/>
    <col min="14852" max="14852" width="12.140625" customWidth="1"/>
    <col min="14855" max="14856" width="9.28515625" customWidth="1"/>
    <col min="14864" max="14864" width="15.85546875" bestFit="1" customWidth="1"/>
    <col min="15105" max="15105" width="9.28515625" customWidth="1"/>
    <col min="15106" max="15106" width="18.140625" customWidth="1"/>
    <col min="15107" max="15107" width="10.7109375" customWidth="1"/>
    <col min="15108" max="15108" width="12.140625" customWidth="1"/>
    <col min="15111" max="15112" width="9.28515625" customWidth="1"/>
    <col min="15120" max="15120" width="15.85546875" bestFit="1" customWidth="1"/>
    <col min="15361" max="15361" width="9.28515625" customWidth="1"/>
    <col min="15362" max="15362" width="18.140625" customWidth="1"/>
    <col min="15363" max="15363" width="10.7109375" customWidth="1"/>
    <col min="15364" max="15364" width="12.140625" customWidth="1"/>
    <col min="15367" max="15368" width="9.28515625" customWidth="1"/>
    <col min="15376" max="15376" width="15.85546875" bestFit="1" customWidth="1"/>
    <col min="15617" max="15617" width="9.28515625" customWidth="1"/>
    <col min="15618" max="15618" width="18.140625" customWidth="1"/>
    <col min="15619" max="15619" width="10.7109375" customWidth="1"/>
    <col min="15620" max="15620" width="12.140625" customWidth="1"/>
    <col min="15623" max="15624" width="9.28515625" customWidth="1"/>
    <col min="15632" max="15632" width="15.85546875" bestFit="1" customWidth="1"/>
    <col min="15873" max="15873" width="9.28515625" customWidth="1"/>
    <col min="15874" max="15874" width="18.140625" customWidth="1"/>
    <col min="15875" max="15875" width="10.7109375" customWidth="1"/>
    <col min="15876" max="15876" width="12.140625" customWidth="1"/>
    <col min="15879" max="15880" width="9.28515625" customWidth="1"/>
    <col min="15888" max="15888" width="15.85546875" bestFit="1" customWidth="1"/>
    <col min="16129" max="16129" width="9.28515625" customWidth="1"/>
    <col min="16130" max="16130" width="18.140625" customWidth="1"/>
    <col min="16131" max="16131" width="10.7109375" customWidth="1"/>
    <col min="16132" max="16132" width="12.140625" customWidth="1"/>
    <col min="16135" max="16136" width="9.28515625" customWidth="1"/>
    <col min="16144" max="16144" width="15.85546875" bestFit="1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323"/>
      <c r="B9" s="323"/>
      <c r="C9" s="323"/>
      <c r="D9" s="323"/>
      <c r="E9" s="323"/>
      <c r="F9" s="323"/>
      <c r="G9" s="405" t="s">
        <v>259</v>
      </c>
      <c r="H9" s="406"/>
    </row>
    <row r="10" spans="1:8" ht="15.75" thickBot="1" x14ac:dyDescent="0.3">
      <c r="A10" s="46"/>
      <c r="B10" s="46"/>
      <c r="C10" s="46"/>
      <c r="D10" s="46"/>
      <c r="E10" s="46"/>
      <c r="F10" s="46"/>
      <c r="G10" s="46"/>
      <c r="H10" s="46"/>
    </row>
    <row r="11" spans="1:8" ht="36.75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ht="36.75" customHeight="1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24" t="s">
        <v>434</v>
      </c>
      <c r="B15" s="418" t="s">
        <v>404</v>
      </c>
      <c r="C15" s="419"/>
      <c r="D15" s="419"/>
      <c r="E15" s="419"/>
      <c r="F15" s="420"/>
      <c r="G15" s="424" t="s">
        <v>166</v>
      </c>
      <c r="H15" s="426" t="s">
        <v>405</v>
      </c>
    </row>
    <row r="16" spans="1:8" ht="12.75" customHeight="1" x14ac:dyDescent="0.25">
      <c r="A16" s="694"/>
      <c r="B16" s="696"/>
      <c r="C16" s="697"/>
      <c r="D16" s="697"/>
      <c r="E16" s="697"/>
      <c r="F16" s="698"/>
      <c r="G16" s="694"/>
      <c r="H16" s="702"/>
    </row>
    <row r="17" spans="1:8" ht="15.75" thickBot="1" x14ac:dyDescent="0.3">
      <c r="A17" s="695"/>
      <c r="B17" s="699"/>
      <c r="C17" s="700"/>
      <c r="D17" s="700"/>
      <c r="E17" s="700"/>
      <c r="F17" s="701"/>
      <c r="G17" s="695"/>
      <c r="H17" s="703"/>
    </row>
    <row r="18" spans="1:8" x14ac:dyDescent="0.25">
      <c r="A18" s="119" t="s">
        <v>168</v>
      </c>
    </row>
    <row r="19" spans="1:8" x14ac:dyDescent="0.25">
      <c r="A19" s="704" t="s">
        <v>1</v>
      </c>
      <c r="B19" s="704"/>
      <c r="C19" s="704" t="s">
        <v>169</v>
      </c>
      <c r="D19" s="704"/>
      <c r="E19" s="704" t="s">
        <v>170</v>
      </c>
      <c r="F19" s="704"/>
      <c r="G19" s="704" t="s">
        <v>171</v>
      </c>
      <c r="H19" s="704"/>
    </row>
    <row r="20" spans="1:8" ht="38.25" customHeight="1" x14ac:dyDescent="0.25">
      <c r="A20" s="385" t="s">
        <v>225</v>
      </c>
      <c r="B20" s="401"/>
      <c r="C20" s="380">
        <v>150000</v>
      </c>
      <c r="D20" s="380"/>
      <c r="E20" s="542">
        <v>10</v>
      </c>
      <c r="F20" s="542"/>
      <c r="G20" s="380">
        <f>+C20/E20</f>
        <v>15000</v>
      </c>
      <c r="H20" s="380"/>
    </row>
    <row r="21" spans="1:8" ht="12.75" customHeight="1" x14ac:dyDescent="0.25">
      <c r="A21" s="397" t="s">
        <v>173</v>
      </c>
      <c r="B21" s="398"/>
      <c r="C21" s="399"/>
      <c r="D21" s="399"/>
      <c r="E21" s="400">
        <v>0.1</v>
      </c>
      <c r="F21" s="399"/>
      <c r="G21" s="388">
        <f>+E21*G39</f>
        <v>75850</v>
      </c>
      <c r="H21" s="388"/>
    </row>
    <row r="22" spans="1:8" x14ac:dyDescent="0.25">
      <c r="A22" s="327"/>
      <c r="B22" s="58"/>
      <c r="C22" s="387" t="s">
        <v>174</v>
      </c>
      <c r="D22" s="387"/>
      <c r="E22" s="387"/>
      <c r="F22" s="387"/>
      <c r="G22" s="388">
        <f>SUM(G20:H21)</f>
        <v>90850</v>
      </c>
      <c r="H22" s="388"/>
    </row>
    <row r="23" spans="1:8" x14ac:dyDescent="0.25">
      <c r="A23" s="327"/>
      <c r="B23" s="58"/>
      <c r="C23" s="62"/>
      <c r="D23" s="62"/>
      <c r="E23" s="62"/>
      <c r="F23" s="62"/>
      <c r="G23" s="63"/>
      <c r="H23" s="328"/>
    </row>
    <row r="24" spans="1:8" x14ac:dyDescent="0.25">
      <c r="A24" s="329" t="s">
        <v>175</v>
      </c>
      <c r="B24" s="58"/>
      <c r="C24" s="58"/>
      <c r="D24" s="58"/>
      <c r="E24" s="58"/>
      <c r="F24" s="58"/>
      <c r="G24" s="58"/>
      <c r="H24" s="330"/>
    </row>
    <row r="25" spans="1:8" x14ac:dyDescent="0.25">
      <c r="A25" s="704" t="s">
        <v>1</v>
      </c>
      <c r="B25" s="704"/>
      <c r="C25" s="325" t="s">
        <v>176</v>
      </c>
      <c r="D25" s="325" t="s">
        <v>177</v>
      </c>
      <c r="E25" s="704" t="s">
        <v>3</v>
      </c>
      <c r="F25" s="704"/>
      <c r="G25" s="704" t="s">
        <v>171</v>
      </c>
      <c r="H25" s="704"/>
    </row>
    <row r="26" spans="1:8" ht="54" customHeight="1" x14ac:dyDescent="0.25">
      <c r="A26" s="781" t="s">
        <v>406</v>
      </c>
      <c r="B26" s="781"/>
      <c r="C26" s="319" t="s">
        <v>176</v>
      </c>
      <c r="D26" s="331">
        <v>130000000</v>
      </c>
      <c r="E26" s="389">
        <v>1</v>
      </c>
      <c r="F26" s="390"/>
      <c r="G26" s="391">
        <f>+D26*E26</f>
        <v>130000000</v>
      </c>
      <c r="H26" s="392"/>
    </row>
    <row r="27" spans="1:8" s="46" customFormat="1" ht="24" customHeight="1" x14ac:dyDescent="0.25">
      <c r="A27" s="781" t="s">
        <v>407</v>
      </c>
      <c r="B27" s="781"/>
      <c r="C27" s="67" t="s">
        <v>400</v>
      </c>
      <c r="D27" s="67"/>
      <c r="E27" s="790">
        <v>0.17</v>
      </c>
      <c r="F27" s="790"/>
      <c r="G27" s="391">
        <f>+E27*(G26)</f>
        <v>22100000</v>
      </c>
      <c r="H27" s="392"/>
    </row>
    <row r="28" spans="1:8" x14ac:dyDescent="0.25">
      <c r="A28" s="332"/>
      <c r="B28" s="333"/>
      <c r="C28" s="387" t="s">
        <v>174</v>
      </c>
      <c r="D28" s="387"/>
      <c r="E28" s="387"/>
      <c r="F28" s="387"/>
      <c r="G28" s="388">
        <f>SUM(G26:H27)</f>
        <v>152100000</v>
      </c>
      <c r="H28" s="388"/>
    </row>
    <row r="29" spans="1:8" x14ac:dyDescent="0.25">
      <c r="A29" s="327"/>
      <c r="B29" s="58"/>
      <c r="C29" s="58"/>
      <c r="D29" s="58"/>
      <c r="E29" s="58"/>
      <c r="F29" s="58"/>
      <c r="G29" s="58"/>
      <c r="H29" s="330"/>
    </row>
    <row r="30" spans="1:8" x14ac:dyDescent="0.25">
      <c r="A30" s="329" t="s">
        <v>181</v>
      </c>
      <c r="B30" s="58"/>
      <c r="C30" s="58"/>
      <c r="D30" s="58"/>
      <c r="E30" s="58"/>
      <c r="F30" s="58"/>
      <c r="G30" s="58"/>
      <c r="H30" s="330"/>
    </row>
    <row r="31" spans="1:8" x14ac:dyDescent="0.25">
      <c r="A31" s="704" t="s">
        <v>182</v>
      </c>
      <c r="B31" s="704"/>
      <c r="C31" s="123" t="s">
        <v>183</v>
      </c>
      <c r="D31" s="325" t="s">
        <v>184</v>
      </c>
      <c r="E31" s="704" t="s">
        <v>185</v>
      </c>
      <c r="F31" s="704"/>
      <c r="G31" s="704" t="s">
        <v>171</v>
      </c>
      <c r="H31" s="704"/>
    </row>
    <row r="32" spans="1:8" x14ac:dyDescent="0.25">
      <c r="A32" s="379" t="s">
        <v>408</v>
      </c>
      <c r="B32" s="379"/>
      <c r="C32" s="324">
        <v>1</v>
      </c>
      <c r="D32" s="324">
        <v>350</v>
      </c>
      <c r="E32" s="388">
        <v>2500</v>
      </c>
      <c r="F32" s="388"/>
      <c r="G32" s="388">
        <f>+E32*D32*C32</f>
        <v>875000</v>
      </c>
      <c r="H32" s="388"/>
    </row>
    <row r="33" spans="1:8" x14ac:dyDescent="0.25">
      <c r="A33" s="332"/>
      <c r="B33" s="333"/>
      <c r="C33" s="387" t="s">
        <v>174</v>
      </c>
      <c r="D33" s="387"/>
      <c r="E33" s="387"/>
      <c r="F33" s="387"/>
      <c r="G33" s="388">
        <f>SUM(G32:H32)</f>
        <v>875000</v>
      </c>
      <c r="H33" s="388"/>
    </row>
    <row r="34" spans="1:8" x14ac:dyDescent="0.25">
      <c r="A34" s="327"/>
      <c r="B34" s="58"/>
      <c r="C34" s="58"/>
      <c r="D34" s="58"/>
      <c r="E34" s="58"/>
      <c r="F34" s="58"/>
      <c r="G34" s="58"/>
      <c r="H34" s="330"/>
    </row>
    <row r="35" spans="1:8" x14ac:dyDescent="0.25">
      <c r="A35" s="329" t="s">
        <v>186</v>
      </c>
      <c r="B35" s="58"/>
      <c r="C35" s="58"/>
      <c r="D35" s="58"/>
      <c r="E35" s="58"/>
      <c r="F35" s="58"/>
      <c r="G35" s="58"/>
      <c r="H35" s="330"/>
    </row>
    <row r="36" spans="1:8" x14ac:dyDescent="0.25">
      <c r="A36" s="704" t="s">
        <v>187</v>
      </c>
      <c r="B36" s="704"/>
      <c r="C36" s="123" t="s">
        <v>188</v>
      </c>
      <c r="D36" s="124" t="s">
        <v>189</v>
      </c>
      <c r="E36" s="126" t="s">
        <v>190</v>
      </c>
      <c r="F36" s="127" t="s">
        <v>170</v>
      </c>
      <c r="G36" s="704" t="s">
        <v>171</v>
      </c>
      <c r="H36" s="704"/>
    </row>
    <row r="37" spans="1:8" x14ac:dyDescent="0.25">
      <c r="A37" s="397" t="s">
        <v>201</v>
      </c>
      <c r="B37" s="398"/>
      <c r="C37" s="128">
        <v>60000</v>
      </c>
      <c r="D37" s="129">
        <v>0.85</v>
      </c>
      <c r="E37" s="128">
        <f>+((C37*D37)+C37)</f>
        <v>111000</v>
      </c>
      <c r="F37" s="321">
        <v>1</v>
      </c>
      <c r="G37" s="706">
        <f>+E37/F37</f>
        <v>111000</v>
      </c>
      <c r="H37" s="707"/>
    </row>
    <row r="38" spans="1:8" x14ac:dyDescent="0.25">
      <c r="A38" s="397" t="s">
        <v>202</v>
      </c>
      <c r="B38" s="398"/>
      <c r="C38" s="128">
        <f>35000*10</f>
        <v>350000</v>
      </c>
      <c r="D38" s="129">
        <v>0.85</v>
      </c>
      <c r="E38" s="128">
        <f>+((C38*D38)+C38)</f>
        <v>647500</v>
      </c>
      <c r="F38" s="321">
        <v>1</v>
      </c>
      <c r="G38" s="706">
        <f>+E38/F38</f>
        <v>647500</v>
      </c>
      <c r="H38" s="707"/>
    </row>
    <row r="39" spans="1:8" x14ac:dyDescent="0.25">
      <c r="A39" s="332"/>
      <c r="B39" s="333"/>
      <c r="C39" s="387" t="s">
        <v>174</v>
      </c>
      <c r="D39" s="387"/>
      <c r="E39" s="387"/>
      <c r="F39" s="387"/>
      <c r="G39" s="388">
        <f>SUM(G37:H38)</f>
        <v>758500</v>
      </c>
      <c r="H39" s="388"/>
    </row>
    <row r="40" spans="1:8" x14ac:dyDescent="0.25">
      <c r="A40" s="327"/>
      <c r="B40" s="58"/>
      <c r="C40" s="58"/>
      <c r="D40" s="58"/>
      <c r="E40" s="58"/>
      <c r="F40" s="58"/>
      <c r="G40" s="58"/>
      <c r="H40" s="330"/>
    </row>
    <row r="41" spans="1:8" x14ac:dyDescent="0.25">
      <c r="A41" s="327"/>
      <c r="B41" s="58"/>
      <c r="C41" s="58"/>
      <c r="D41" s="58"/>
      <c r="E41" s="58"/>
      <c r="F41" s="58"/>
      <c r="G41" s="58"/>
      <c r="H41" s="330"/>
    </row>
    <row r="42" spans="1:8" x14ac:dyDescent="0.25">
      <c r="A42" s="382" t="s">
        <v>193</v>
      </c>
      <c r="B42" s="382"/>
      <c r="C42" s="382"/>
      <c r="D42" s="382"/>
      <c r="E42" s="382"/>
      <c r="F42" s="382"/>
      <c r="G42" s="383">
        <f>+ROUND(G22+G28+G33+G39,0)</f>
        <v>153824350</v>
      </c>
      <c r="H42" s="383"/>
    </row>
    <row r="43" spans="1:8" x14ac:dyDescent="0.25">
      <c r="G43" s="309">
        <f>+G42</f>
        <v>153824350</v>
      </c>
    </row>
    <row r="45" spans="1:8" x14ac:dyDescent="0.25">
      <c r="G45" s="143"/>
    </row>
  </sheetData>
  <mergeCells count="56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7"/>
    <mergeCell ref="B15:F17"/>
    <mergeCell ref="G15:G17"/>
    <mergeCell ref="H15:H17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26:B26"/>
    <mergeCell ref="E26:F26"/>
    <mergeCell ref="G26:H26"/>
    <mergeCell ref="A36:B36"/>
    <mergeCell ref="G36:H36"/>
    <mergeCell ref="A27:B27"/>
    <mergeCell ref="E27:F27"/>
    <mergeCell ref="G27:H27"/>
    <mergeCell ref="C28:F28"/>
    <mergeCell ref="G28:H28"/>
    <mergeCell ref="A31:B31"/>
    <mergeCell ref="E31:F31"/>
    <mergeCell ref="G31:H31"/>
    <mergeCell ref="A32:B32"/>
    <mergeCell ref="E32:F32"/>
    <mergeCell ref="G32:H32"/>
    <mergeCell ref="C33:F33"/>
    <mergeCell ref="G33:H33"/>
    <mergeCell ref="A42:F42"/>
    <mergeCell ref="G42:H42"/>
    <mergeCell ref="A37:B37"/>
    <mergeCell ref="G37:H37"/>
    <mergeCell ref="A38:B38"/>
    <mergeCell ref="G38:H38"/>
    <mergeCell ref="C39:F39"/>
    <mergeCell ref="G39:H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2"/>
  <sheetViews>
    <sheetView workbookViewId="0">
      <selection activeCell="G41" sqref="G41:H41"/>
    </sheetView>
  </sheetViews>
  <sheetFormatPr baseColWidth="10" defaultRowHeight="12.75" x14ac:dyDescent="0.2"/>
  <cols>
    <col min="1" max="2" width="9.42578125" style="77" customWidth="1"/>
    <col min="3" max="3" width="10.7109375" style="77" customWidth="1"/>
    <col min="4" max="4" width="12.140625" style="77" customWidth="1"/>
    <col min="5" max="6" width="11.42578125" style="77"/>
    <col min="7" max="7" width="12.85546875" style="77" customWidth="1"/>
    <col min="8" max="8" width="9.42578125" style="77" customWidth="1"/>
    <col min="9" max="256" width="11.42578125" style="77"/>
    <col min="257" max="258" width="9.42578125" style="77" customWidth="1"/>
    <col min="259" max="259" width="10.7109375" style="77" customWidth="1"/>
    <col min="260" max="260" width="12.140625" style="77" customWidth="1"/>
    <col min="261" max="262" width="11.42578125" style="77"/>
    <col min="263" max="264" width="9.42578125" style="77" customWidth="1"/>
    <col min="265" max="512" width="11.42578125" style="77"/>
    <col min="513" max="514" width="9.42578125" style="77" customWidth="1"/>
    <col min="515" max="515" width="10.7109375" style="77" customWidth="1"/>
    <col min="516" max="516" width="12.140625" style="77" customWidth="1"/>
    <col min="517" max="518" width="11.42578125" style="77"/>
    <col min="519" max="520" width="9.42578125" style="77" customWidth="1"/>
    <col min="521" max="768" width="11.42578125" style="77"/>
    <col min="769" max="770" width="9.42578125" style="77" customWidth="1"/>
    <col min="771" max="771" width="10.7109375" style="77" customWidth="1"/>
    <col min="772" max="772" width="12.140625" style="77" customWidth="1"/>
    <col min="773" max="774" width="11.42578125" style="77"/>
    <col min="775" max="776" width="9.42578125" style="77" customWidth="1"/>
    <col min="777" max="1024" width="11.42578125" style="77"/>
    <col min="1025" max="1026" width="9.42578125" style="77" customWidth="1"/>
    <col min="1027" max="1027" width="10.7109375" style="77" customWidth="1"/>
    <col min="1028" max="1028" width="12.140625" style="77" customWidth="1"/>
    <col min="1029" max="1030" width="11.42578125" style="77"/>
    <col min="1031" max="1032" width="9.42578125" style="77" customWidth="1"/>
    <col min="1033" max="1280" width="11.42578125" style="77"/>
    <col min="1281" max="1282" width="9.42578125" style="77" customWidth="1"/>
    <col min="1283" max="1283" width="10.7109375" style="77" customWidth="1"/>
    <col min="1284" max="1284" width="12.140625" style="77" customWidth="1"/>
    <col min="1285" max="1286" width="11.42578125" style="77"/>
    <col min="1287" max="1288" width="9.42578125" style="77" customWidth="1"/>
    <col min="1289" max="1536" width="11.42578125" style="77"/>
    <col min="1537" max="1538" width="9.42578125" style="77" customWidth="1"/>
    <col min="1539" max="1539" width="10.7109375" style="77" customWidth="1"/>
    <col min="1540" max="1540" width="12.140625" style="77" customWidth="1"/>
    <col min="1541" max="1542" width="11.42578125" style="77"/>
    <col min="1543" max="1544" width="9.42578125" style="77" customWidth="1"/>
    <col min="1545" max="1792" width="11.42578125" style="77"/>
    <col min="1793" max="1794" width="9.42578125" style="77" customWidth="1"/>
    <col min="1795" max="1795" width="10.7109375" style="77" customWidth="1"/>
    <col min="1796" max="1796" width="12.140625" style="77" customWidth="1"/>
    <col min="1797" max="1798" width="11.42578125" style="77"/>
    <col min="1799" max="1800" width="9.42578125" style="77" customWidth="1"/>
    <col min="1801" max="2048" width="11.42578125" style="77"/>
    <col min="2049" max="2050" width="9.42578125" style="77" customWidth="1"/>
    <col min="2051" max="2051" width="10.7109375" style="77" customWidth="1"/>
    <col min="2052" max="2052" width="12.140625" style="77" customWidth="1"/>
    <col min="2053" max="2054" width="11.42578125" style="77"/>
    <col min="2055" max="2056" width="9.42578125" style="77" customWidth="1"/>
    <col min="2057" max="2304" width="11.42578125" style="77"/>
    <col min="2305" max="2306" width="9.42578125" style="77" customWidth="1"/>
    <col min="2307" max="2307" width="10.7109375" style="77" customWidth="1"/>
    <col min="2308" max="2308" width="12.140625" style="77" customWidth="1"/>
    <col min="2309" max="2310" width="11.42578125" style="77"/>
    <col min="2311" max="2312" width="9.42578125" style="77" customWidth="1"/>
    <col min="2313" max="2560" width="11.42578125" style="77"/>
    <col min="2561" max="2562" width="9.42578125" style="77" customWidth="1"/>
    <col min="2563" max="2563" width="10.7109375" style="77" customWidth="1"/>
    <col min="2564" max="2564" width="12.140625" style="77" customWidth="1"/>
    <col min="2565" max="2566" width="11.42578125" style="77"/>
    <col min="2567" max="2568" width="9.42578125" style="77" customWidth="1"/>
    <col min="2569" max="2816" width="11.42578125" style="77"/>
    <col min="2817" max="2818" width="9.42578125" style="77" customWidth="1"/>
    <col min="2819" max="2819" width="10.7109375" style="77" customWidth="1"/>
    <col min="2820" max="2820" width="12.140625" style="77" customWidth="1"/>
    <col min="2821" max="2822" width="11.42578125" style="77"/>
    <col min="2823" max="2824" width="9.42578125" style="77" customWidth="1"/>
    <col min="2825" max="3072" width="11.42578125" style="77"/>
    <col min="3073" max="3074" width="9.42578125" style="77" customWidth="1"/>
    <col min="3075" max="3075" width="10.7109375" style="77" customWidth="1"/>
    <col min="3076" max="3076" width="12.140625" style="77" customWidth="1"/>
    <col min="3077" max="3078" width="11.42578125" style="77"/>
    <col min="3079" max="3080" width="9.42578125" style="77" customWidth="1"/>
    <col min="3081" max="3328" width="11.42578125" style="77"/>
    <col min="3329" max="3330" width="9.42578125" style="77" customWidth="1"/>
    <col min="3331" max="3331" width="10.7109375" style="77" customWidth="1"/>
    <col min="3332" max="3332" width="12.140625" style="77" customWidth="1"/>
    <col min="3333" max="3334" width="11.42578125" style="77"/>
    <col min="3335" max="3336" width="9.42578125" style="77" customWidth="1"/>
    <col min="3337" max="3584" width="11.42578125" style="77"/>
    <col min="3585" max="3586" width="9.42578125" style="77" customWidth="1"/>
    <col min="3587" max="3587" width="10.7109375" style="77" customWidth="1"/>
    <col min="3588" max="3588" width="12.140625" style="77" customWidth="1"/>
    <col min="3589" max="3590" width="11.42578125" style="77"/>
    <col min="3591" max="3592" width="9.42578125" style="77" customWidth="1"/>
    <col min="3593" max="3840" width="11.42578125" style="77"/>
    <col min="3841" max="3842" width="9.42578125" style="77" customWidth="1"/>
    <col min="3843" max="3843" width="10.7109375" style="77" customWidth="1"/>
    <col min="3844" max="3844" width="12.140625" style="77" customWidth="1"/>
    <col min="3845" max="3846" width="11.42578125" style="77"/>
    <col min="3847" max="3848" width="9.42578125" style="77" customWidth="1"/>
    <col min="3849" max="4096" width="11.42578125" style="77"/>
    <col min="4097" max="4098" width="9.42578125" style="77" customWidth="1"/>
    <col min="4099" max="4099" width="10.7109375" style="77" customWidth="1"/>
    <col min="4100" max="4100" width="12.140625" style="77" customWidth="1"/>
    <col min="4101" max="4102" width="11.42578125" style="77"/>
    <col min="4103" max="4104" width="9.42578125" style="77" customWidth="1"/>
    <col min="4105" max="4352" width="11.42578125" style="77"/>
    <col min="4353" max="4354" width="9.42578125" style="77" customWidth="1"/>
    <col min="4355" max="4355" width="10.7109375" style="77" customWidth="1"/>
    <col min="4356" max="4356" width="12.140625" style="77" customWidth="1"/>
    <col min="4357" max="4358" width="11.42578125" style="77"/>
    <col min="4359" max="4360" width="9.42578125" style="77" customWidth="1"/>
    <col min="4361" max="4608" width="11.42578125" style="77"/>
    <col min="4609" max="4610" width="9.42578125" style="77" customWidth="1"/>
    <col min="4611" max="4611" width="10.7109375" style="77" customWidth="1"/>
    <col min="4612" max="4612" width="12.140625" style="77" customWidth="1"/>
    <col min="4613" max="4614" width="11.42578125" style="77"/>
    <col min="4615" max="4616" width="9.42578125" style="77" customWidth="1"/>
    <col min="4617" max="4864" width="11.42578125" style="77"/>
    <col min="4865" max="4866" width="9.42578125" style="77" customWidth="1"/>
    <col min="4867" max="4867" width="10.7109375" style="77" customWidth="1"/>
    <col min="4868" max="4868" width="12.140625" style="77" customWidth="1"/>
    <col min="4869" max="4870" width="11.42578125" style="77"/>
    <col min="4871" max="4872" width="9.42578125" style="77" customWidth="1"/>
    <col min="4873" max="5120" width="11.42578125" style="77"/>
    <col min="5121" max="5122" width="9.42578125" style="77" customWidth="1"/>
    <col min="5123" max="5123" width="10.7109375" style="77" customWidth="1"/>
    <col min="5124" max="5124" width="12.140625" style="77" customWidth="1"/>
    <col min="5125" max="5126" width="11.42578125" style="77"/>
    <col min="5127" max="5128" width="9.42578125" style="77" customWidth="1"/>
    <col min="5129" max="5376" width="11.42578125" style="77"/>
    <col min="5377" max="5378" width="9.42578125" style="77" customWidth="1"/>
    <col min="5379" max="5379" width="10.7109375" style="77" customWidth="1"/>
    <col min="5380" max="5380" width="12.140625" style="77" customWidth="1"/>
    <col min="5381" max="5382" width="11.42578125" style="77"/>
    <col min="5383" max="5384" width="9.42578125" style="77" customWidth="1"/>
    <col min="5385" max="5632" width="11.42578125" style="77"/>
    <col min="5633" max="5634" width="9.42578125" style="77" customWidth="1"/>
    <col min="5635" max="5635" width="10.7109375" style="77" customWidth="1"/>
    <col min="5636" max="5636" width="12.140625" style="77" customWidth="1"/>
    <col min="5637" max="5638" width="11.42578125" style="77"/>
    <col min="5639" max="5640" width="9.42578125" style="77" customWidth="1"/>
    <col min="5641" max="5888" width="11.42578125" style="77"/>
    <col min="5889" max="5890" width="9.42578125" style="77" customWidth="1"/>
    <col min="5891" max="5891" width="10.7109375" style="77" customWidth="1"/>
    <col min="5892" max="5892" width="12.140625" style="77" customWidth="1"/>
    <col min="5893" max="5894" width="11.42578125" style="77"/>
    <col min="5895" max="5896" width="9.42578125" style="77" customWidth="1"/>
    <col min="5897" max="6144" width="11.42578125" style="77"/>
    <col min="6145" max="6146" width="9.42578125" style="77" customWidth="1"/>
    <col min="6147" max="6147" width="10.7109375" style="77" customWidth="1"/>
    <col min="6148" max="6148" width="12.140625" style="77" customWidth="1"/>
    <col min="6149" max="6150" width="11.42578125" style="77"/>
    <col min="6151" max="6152" width="9.42578125" style="77" customWidth="1"/>
    <col min="6153" max="6400" width="11.42578125" style="77"/>
    <col min="6401" max="6402" width="9.42578125" style="77" customWidth="1"/>
    <col min="6403" max="6403" width="10.7109375" style="77" customWidth="1"/>
    <col min="6404" max="6404" width="12.140625" style="77" customWidth="1"/>
    <col min="6405" max="6406" width="11.42578125" style="77"/>
    <col min="6407" max="6408" width="9.42578125" style="77" customWidth="1"/>
    <col min="6409" max="6656" width="11.42578125" style="77"/>
    <col min="6657" max="6658" width="9.42578125" style="77" customWidth="1"/>
    <col min="6659" max="6659" width="10.7109375" style="77" customWidth="1"/>
    <col min="6660" max="6660" width="12.140625" style="77" customWidth="1"/>
    <col min="6661" max="6662" width="11.42578125" style="77"/>
    <col min="6663" max="6664" width="9.42578125" style="77" customWidth="1"/>
    <col min="6665" max="6912" width="11.42578125" style="77"/>
    <col min="6913" max="6914" width="9.42578125" style="77" customWidth="1"/>
    <col min="6915" max="6915" width="10.7109375" style="77" customWidth="1"/>
    <col min="6916" max="6916" width="12.140625" style="77" customWidth="1"/>
    <col min="6917" max="6918" width="11.42578125" style="77"/>
    <col min="6919" max="6920" width="9.42578125" style="77" customWidth="1"/>
    <col min="6921" max="7168" width="11.42578125" style="77"/>
    <col min="7169" max="7170" width="9.42578125" style="77" customWidth="1"/>
    <col min="7171" max="7171" width="10.7109375" style="77" customWidth="1"/>
    <col min="7172" max="7172" width="12.140625" style="77" customWidth="1"/>
    <col min="7173" max="7174" width="11.42578125" style="77"/>
    <col min="7175" max="7176" width="9.42578125" style="77" customWidth="1"/>
    <col min="7177" max="7424" width="11.42578125" style="77"/>
    <col min="7425" max="7426" width="9.42578125" style="77" customWidth="1"/>
    <col min="7427" max="7427" width="10.7109375" style="77" customWidth="1"/>
    <col min="7428" max="7428" width="12.140625" style="77" customWidth="1"/>
    <col min="7429" max="7430" width="11.42578125" style="77"/>
    <col min="7431" max="7432" width="9.42578125" style="77" customWidth="1"/>
    <col min="7433" max="7680" width="11.42578125" style="77"/>
    <col min="7681" max="7682" width="9.42578125" style="77" customWidth="1"/>
    <col min="7683" max="7683" width="10.7109375" style="77" customWidth="1"/>
    <col min="7684" max="7684" width="12.140625" style="77" customWidth="1"/>
    <col min="7685" max="7686" width="11.42578125" style="77"/>
    <col min="7687" max="7688" width="9.42578125" style="77" customWidth="1"/>
    <col min="7689" max="7936" width="11.42578125" style="77"/>
    <col min="7937" max="7938" width="9.42578125" style="77" customWidth="1"/>
    <col min="7939" max="7939" width="10.7109375" style="77" customWidth="1"/>
    <col min="7940" max="7940" width="12.140625" style="77" customWidth="1"/>
    <col min="7941" max="7942" width="11.42578125" style="77"/>
    <col min="7943" max="7944" width="9.42578125" style="77" customWidth="1"/>
    <col min="7945" max="8192" width="11.42578125" style="77"/>
    <col min="8193" max="8194" width="9.42578125" style="77" customWidth="1"/>
    <col min="8195" max="8195" width="10.7109375" style="77" customWidth="1"/>
    <col min="8196" max="8196" width="12.140625" style="77" customWidth="1"/>
    <col min="8197" max="8198" width="11.42578125" style="77"/>
    <col min="8199" max="8200" width="9.42578125" style="77" customWidth="1"/>
    <col min="8201" max="8448" width="11.42578125" style="77"/>
    <col min="8449" max="8450" width="9.42578125" style="77" customWidth="1"/>
    <col min="8451" max="8451" width="10.7109375" style="77" customWidth="1"/>
    <col min="8452" max="8452" width="12.140625" style="77" customWidth="1"/>
    <col min="8453" max="8454" width="11.42578125" style="77"/>
    <col min="8455" max="8456" width="9.42578125" style="77" customWidth="1"/>
    <col min="8457" max="8704" width="11.42578125" style="77"/>
    <col min="8705" max="8706" width="9.42578125" style="77" customWidth="1"/>
    <col min="8707" max="8707" width="10.7109375" style="77" customWidth="1"/>
    <col min="8708" max="8708" width="12.140625" style="77" customWidth="1"/>
    <col min="8709" max="8710" width="11.42578125" style="77"/>
    <col min="8711" max="8712" width="9.42578125" style="77" customWidth="1"/>
    <col min="8713" max="8960" width="11.42578125" style="77"/>
    <col min="8961" max="8962" width="9.42578125" style="77" customWidth="1"/>
    <col min="8963" max="8963" width="10.7109375" style="77" customWidth="1"/>
    <col min="8964" max="8964" width="12.140625" style="77" customWidth="1"/>
    <col min="8965" max="8966" width="11.42578125" style="77"/>
    <col min="8967" max="8968" width="9.42578125" style="77" customWidth="1"/>
    <col min="8969" max="9216" width="11.42578125" style="77"/>
    <col min="9217" max="9218" width="9.42578125" style="77" customWidth="1"/>
    <col min="9219" max="9219" width="10.7109375" style="77" customWidth="1"/>
    <col min="9220" max="9220" width="12.140625" style="77" customWidth="1"/>
    <col min="9221" max="9222" width="11.42578125" style="77"/>
    <col min="9223" max="9224" width="9.42578125" style="77" customWidth="1"/>
    <col min="9225" max="9472" width="11.42578125" style="77"/>
    <col min="9473" max="9474" width="9.42578125" style="77" customWidth="1"/>
    <col min="9475" max="9475" width="10.7109375" style="77" customWidth="1"/>
    <col min="9476" max="9476" width="12.140625" style="77" customWidth="1"/>
    <col min="9477" max="9478" width="11.42578125" style="77"/>
    <col min="9479" max="9480" width="9.42578125" style="77" customWidth="1"/>
    <col min="9481" max="9728" width="11.42578125" style="77"/>
    <col min="9729" max="9730" width="9.42578125" style="77" customWidth="1"/>
    <col min="9731" max="9731" width="10.7109375" style="77" customWidth="1"/>
    <col min="9732" max="9732" width="12.140625" style="77" customWidth="1"/>
    <col min="9733" max="9734" width="11.42578125" style="77"/>
    <col min="9735" max="9736" width="9.42578125" style="77" customWidth="1"/>
    <col min="9737" max="9984" width="11.42578125" style="77"/>
    <col min="9985" max="9986" width="9.42578125" style="77" customWidth="1"/>
    <col min="9987" max="9987" width="10.7109375" style="77" customWidth="1"/>
    <col min="9988" max="9988" width="12.140625" style="77" customWidth="1"/>
    <col min="9989" max="9990" width="11.42578125" style="77"/>
    <col min="9991" max="9992" width="9.42578125" style="77" customWidth="1"/>
    <col min="9993" max="10240" width="11.42578125" style="77"/>
    <col min="10241" max="10242" width="9.42578125" style="77" customWidth="1"/>
    <col min="10243" max="10243" width="10.7109375" style="77" customWidth="1"/>
    <col min="10244" max="10244" width="12.140625" style="77" customWidth="1"/>
    <col min="10245" max="10246" width="11.42578125" style="77"/>
    <col min="10247" max="10248" width="9.42578125" style="77" customWidth="1"/>
    <col min="10249" max="10496" width="11.42578125" style="77"/>
    <col min="10497" max="10498" width="9.42578125" style="77" customWidth="1"/>
    <col min="10499" max="10499" width="10.7109375" style="77" customWidth="1"/>
    <col min="10500" max="10500" width="12.140625" style="77" customWidth="1"/>
    <col min="10501" max="10502" width="11.42578125" style="77"/>
    <col min="10503" max="10504" width="9.42578125" style="77" customWidth="1"/>
    <col min="10505" max="10752" width="11.42578125" style="77"/>
    <col min="10753" max="10754" width="9.42578125" style="77" customWidth="1"/>
    <col min="10755" max="10755" width="10.7109375" style="77" customWidth="1"/>
    <col min="10756" max="10756" width="12.140625" style="77" customWidth="1"/>
    <col min="10757" max="10758" width="11.42578125" style="77"/>
    <col min="10759" max="10760" width="9.42578125" style="77" customWidth="1"/>
    <col min="10761" max="11008" width="11.42578125" style="77"/>
    <col min="11009" max="11010" width="9.42578125" style="77" customWidth="1"/>
    <col min="11011" max="11011" width="10.7109375" style="77" customWidth="1"/>
    <col min="11012" max="11012" width="12.140625" style="77" customWidth="1"/>
    <col min="11013" max="11014" width="11.42578125" style="77"/>
    <col min="11015" max="11016" width="9.42578125" style="77" customWidth="1"/>
    <col min="11017" max="11264" width="11.42578125" style="77"/>
    <col min="11265" max="11266" width="9.42578125" style="77" customWidth="1"/>
    <col min="11267" max="11267" width="10.7109375" style="77" customWidth="1"/>
    <col min="11268" max="11268" width="12.140625" style="77" customWidth="1"/>
    <col min="11269" max="11270" width="11.42578125" style="77"/>
    <col min="11271" max="11272" width="9.42578125" style="77" customWidth="1"/>
    <col min="11273" max="11520" width="11.42578125" style="77"/>
    <col min="11521" max="11522" width="9.42578125" style="77" customWidth="1"/>
    <col min="11523" max="11523" width="10.7109375" style="77" customWidth="1"/>
    <col min="11524" max="11524" width="12.140625" style="77" customWidth="1"/>
    <col min="11525" max="11526" width="11.42578125" style="77"/>
    <col min="11527" max="11528" width="9.42578125" style="77" customWidth="1"/>
    <col min="11529" max="11776" width="11.42578125" style="77"/>
    <col min="11777" max="11778" width="9.42578125" style="77" customWidth="1"/>
    <col min="11779" max="11779" width="10.7109375" style="77" customWidth="1"/>
    <col min="11780" max="11780" width="12.140625" style="77" customWidth="1"/>
    <col min="11781" max="11782" width="11.42578125" style="77"/>
    <col min="11783" max="11784" width="9.42578125" style="77" customWidth="1"/>
    <col min="11785" max="12032" width="11.42578125" style="77"/>
    <col min="12033" max="12034" width="9.42578125" style="77" customWidth="1"/>
    <col min="12035" max="12035" width="10.7109375" style="77" customWidth="1"/>
    <col min="12036" max="12036" width="12.140625" style="77" customWidth="1"/>
    <col min="12037" max="12038" width="11.42578125" style="77"/>
    <col min="12039" max="12040" width="9.42578125" style="77" customWidth="1"/>
    <col min="12041" max="12288" width="11.42578125" style="77"/>
    <col min="12289" max="12290" width="9.42578125" style="77" customWidth="1"/>
    <col min="12291" max="12291" width="10.7109375" style="77" customWidth="1"/>
    <col min="12292" max="12292" width="12.140625" style="77" customWidth="1"/>
    <col min="12293" max="12294" width="11.42578125" style="77"/>
    <col min="12295" max="12296" width="9.42578125" style="77" customWidth="1"/>
    <col min="12297" max="12544" width="11.42578125" style="77"/>
    <col min="12545" max="12546" width="9.42578125" style="77" customWidth="1"/>
    <col min="12547" max="12547" width="10.7109375" style="77" customWidth="1"/>
    <col min="12548" max="12548" width="12.140625" style="77" customWidth="1"/>
    <col min="12549" max="12550" width="11.42578125" style="77"/>
    <col min="12551" max="12552" width="9.42578125" style="77" customWidth="1"/>
    <col min="12553" max="12800" width="11.42578125" style="77"/>
    <col min="12801" max="12802" width="9.42578125" style="77" customWidth="1"/>
    <col min="12803" max="12803" width="10.7109375" style="77" customWidth="1"/>
    <col min="12804" max="12804" width="12.140625" style="77" customWidth="1"/>
    <col min="12805" max="12806" width="11.42578125" style="77"/>
    <col min="12807" max="12808" width="9.42578125" style="77" customWidth="1"/>
    <col min="12809" max="13056" width="11.42578125" style="77"/>
    <col min="13057" max="13058" width="9.42578125" style="77" customWidth="1"/>
    <col min="13059" max="13059" width="10.7109375" style="77" customWidth="1"/>
    <col min="13060" max="13060" width="12.140625" style="77" customWidth="1"/>
    <col min="13061" max="13062" width="11.42578125" style="77"/>
    <col min="13063" max="13064" width="9.42578125" style="77" customWidth="1"/>
    <col min="13065" max="13312" width="11.42578125" style="77"/>
    <col min="13313" max="13314" width="9.42578125" style="77" customWidth="1"/>
    <col min="13315" max="13315" width="10.7109375" style="77" customWidth="1"/>
    <col min="13316" max="13316" width="12.140625" style="77" customWidth="1"/>
    <col min="13317" max="13318" width="11.42578125" style="77"/>
    <col min="13319" max="13320" width="9.42578125" style="77" customWidth="1"/>
    <col min="13321" max="13568" width="11.42578125" style="77"/>
    <col min="13569" max="13570" width="9.42578125" style="77" customWidth="1"/>
    <col min="13571" max="13571" width="10.7109375" style="77" customWidth="1"/>
    <col min="13572" max="13572" width="12.140625" style="77" customWidth="1"/>
    <col min="13573" max="13574" width="11.42578125" style="77"/>
    <col min="13575" max="13576" width="9.42578125" style="77" customWidth="1"/>
    <col min="13577" max="13824" width="11.42578125" style="77"/>
    <col min="13825" max="13826" width="9.42578125" style="77" customWidth="1"/>
    <col min="13827" max="13827" width="10.7109375" style="77" customWidth="1"/>
    <col min="13828" max="13828" width="12.140625" style="77" customWidth="1"/>
    <col min="13829" max="13830" width="11.42578125" style="77"/>
    <col min="13831" max="13832" width="9.42578125" style="77" customWidth="1"/>
    <col min="13833" max="14080" width="11.42578125" style="77"/>
    <col min="14081" max="14082" width="9.42578125" style="77" customWidth="1"/>
    <col min="14083" max="14083" width="10.7109375" style="77" customWidth="1"/>
    <col min="14084" max="14084" width="12.140625" style="77" customWidth="1"/>
    <col min="14085" max="14086" width="11.42578125" style="77"/>
    <col min="14087" max="14088" width="9.42578125" style="77" customWidth="1"/>
    <col min="14089" max="14336" width="11.42578125" style="77"/>
    <col min="14337" max="14338" width="9.42578125" style="77" customWidth="1"/>
    <col min="14339" max="14339" width="10.7109375" style="77" customWidth="1"/>
    <col min="14340" max="14340" width="12.140625" style="77" customWidth="1"/>
    <col min="14341" max="14342" width="11.42578125" style="77"/>
    <col min="14343" max="14344" width="9.42578125" style="77" customWidth="1"/>
    <col min="14345" max="14592" width="11.42578125" style="77"/>
    <col min="14593" max="14594" width="9.42578125" style="77" customWidth="1"/>
    <col min="14595" max="14595" width="10.7109375" style="77" customWidth="1"/>
    <col min="14596" max="14596" width="12.140625" style="77" customWidth="1"/>
    <col min="14597" max="14598" width="11.42578125" style="77"/>
    <col min="14599" max="14600" width="9.42578125" style="77" customWidth="1"/>
    <col min="14601" max="14848" width="11.42578125" style="77"/>
    <col min="14849" max="14850" width="9.42578125" style="77" customWidth="1"/>
    <col min="14851" max="14851" width="10.7109375" style="77" customWidth="1"/>
    <col min="14852" max="14852" width="12.140625" style="77" customWidth="1"/>
    <col min="14853" max="14854" width="11.42578125" style="77"/>
    <col min="14855" max="14856" width="9.42578125" style="77" customWidth="1"/>
    <col min="14857" max="15104" width="11.42578125" style="77"/>
    <col min="15105" max="15106" width="9.42578125" style="77" customWidth="1"/>
    <col min="15107" max="15107" width="10.7109375" style="77" customWidth="1"/>
    <col min="15108" max="15108" width="12.140625" style="77" customWidth="1"/>
    <col min="15109" max="15110" width="11.42578125" style="77"/>
    <col min="15111" max="15112" width="9.42578125" style="77" customWidth="1"/>
    <col min="15113" max="15360" width="11.42578125" style="77"/>
    <col min="15361" max="15362" width="9.42578125" style="77" customWidth="1"/>
    <col min="15363" max="15363" width="10.7109375" style="77" customWidth="1"/>
    <col min="15364" max="15364" width="12.140625" style="77" customWidth="1"/>
    <col min="15365" max="15366" width="11.42578125" style="77"/>
    <col min="15367" max="15368" width="9.42578125" style="77" customWidth="1"/>
    <col min="15369" max="15616" width="11.42578125" style="77"/>
    <col min="15617" max="15618" width="9.42578125" style="77" customWidth="1"/>
    <col min="15619" max="15619" width="10.7109375" style="77" customWidth="1"/>
    <col min="15620" max="15620" width="12.140625" style="77" customWidth="1"/>
    <col min="15621" max="15622" width="11.42578125" style="77"/>
    <col min="15623" max="15624" width="9.42578125" style="77" customWidth="1"/>
    <col min="15625" max="15872" width="11.42578125" style="77"/>
    <col min="15873" max="15874" width="9.42578125" style="77" customWidth="1"/>
    <col min="15875" max="15875" width="10.7109375" style="77" customWidth="1"/>
    <col min="15876" max="15876" width="12.140625" style="77" customWidth="1"/>
    <col min="15877" max="15878" width="11.42578125" style="77"/>
    <col min="15879" max="15880" width="9.42578125" style="77" customWidth="1"/>
    <col min="15881" max="16128" width="11.42578125" style="77"/>
    <col min="16129" max="16130" width="9.42578125" style="77" customWidth="1"/>
    <col min="16131" max="16131" width="10.7109375" style="77" customWidth="1"/>
    <col min="16132" max="16132" width="12.140625" style="77" customWidth="1"/>
    <col min="16133" max="16134" width="11.42578125" style="77"/>
    <col min="16135" max="16136" width="9.42578125" style="77" customWidth="1"/>
    <col min="16137" max="16384" width="11.42578125" style="77"/>
  </cols>
  <sheetData>
    <row r="1" spans="1:8" ht="18" x14ac:dyDescent="0.2">
      <c r="A1" s="470"/>
      <c r="B1" s="471"/>
      <c r="C1" s="476" t="s">
        <v>160</v>
      </c>
      <c r="D1" s="477"/>
      <c r="E1" s="477"/>
      <c r="F1" s="478"/>
      <c r="G1" s="470"/>
      <c r="H1" s="471"/>
    </row>
    <row r="2" spans="1:8" x14ac:dyDescent="0.2">
      <c r="A2" s="472"/>
      <c r="B2" s="473"/>
      <c r="C2" s="479" t="s">
        <v>85</v>
      </c>
      <c r="D2" s="480"/>
      <c r="E2" s="480"/>
      <c r="F2" s="481"/>
      <c r="G2" s="472"/>
      <c r="H2" s="473"/>
    </row>
    <row r="3" spans="1:8" x14ac:dyDescent="0.2">
      <c r="A3" s="472"/>
      <c r="B3" s="473"/>
      <c r="C3" s="78"/>
      <c r="D3" s="79"/>
      <c r="E3" s="79"/>
      <c r="F3" s="80"/>
      <c r="G3" s="472"/>
      <c r="H3" s="473"/>
    </row>
    <row r="4" spans="1:8" x14ac:dyDescent="0.2">
      <c r="A4" s="472"/>
      <c r="B4" s="473"/>
      <c r="C4" s="479" t="s">
        <v>161</v>
      </c>
      <c r="D4" s="480"/>
      <c r="E4" s="480"/>
      <c r="F4" s="481"/>
      <c r="G4" s="472"/>
      <c r="H4" s="473"/>
    </row>
    <row r="5" spans="1:8" x14ac:dyDescent="0.2">
      <c r="A5" s="472"/>
      <c r="B5" s="473"/>
      <c r="C5" s="479" t="s">
        <v>162</v>
      </c>
      <c r="D5" s="480"/>
      <c r="E5" s="480"/>
      <c r="F5" s="481"/>
      <c r="G5" s="472"/>
      <c r="H5" s="473"/>
    </row>
    <row r="6" spans="1:8" ht="13.5" thickBot="1" x14ac:dyDescent="0.25">
      <c r="A6" s="474"/>
      <c r="B6" s="475"/>
      <c r="C6" s="81"/>
      <c r="D6" s="82"/>
      <c r="E6" s="82"/>
      <c r="F6" s="83"/>
      <c r="G6" s="474"/>
      <c r="H6" s="475"/>
    </row>
    <row r="8" spans="1:8" ht="13.5" thickBot="1" x14ac:dyDescent="0.25">
      <c r="A8" s="459" t="s">
        <v>163</v>
      </c>
      <c r="B8" s="459"/>
      <c r="C8" s="459"/>
      <c r="D8" s="459"/>
      <c r="E8" s="459"/>
      <c r="F8" s="459"/>
      <c r="G8" s="459"/>
      <c r="H8" s="459"/>
    </row>
    <row r="9" spans="1:8" ht="13.5" thickBot="1" x14ac:dyDescent="0.25">
      <c r="A9" s="100"/>
      <c r="B9" s="100"/>
      <c r="C9" s="100"/>
      <c r="D9" s="100"/>
      <c r="E9" s="100"/>
      <c r="F9" s="100"/>
      <c r="G9" s="405" t="s">
        <v>259</v>
      </c>
      <c r="H9" s="406"/>
    </row>
    <row r="10" spans="1:8" ht="13.5" thickBot="1" x14ac:dyDescent="0.25"/>
    <row r="11" spans="1:8" ht="66.75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ht="12.7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8" ht="13.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8" ht="13.5" thickBot="1" x14ac:dyDescent="0.25">
      <c r="A14" s="85"/>
    </row>
    <row r="15" spans="1:8" x14ac:dyDescent="0.2">
      <c r="A15" s="460" t="s">
        <v>203</v>
      </c>
      <c r="B15" s="462" t="s">
        <v>204</v>
      </c>
      <c r="C15" s="463"/>
      <c r="D15" s="463"/>
      <c r="E15" s="463"/>
      <c r="F15" s="464"/>
      <c r="G15" s="460" t="s">
        <v>166</v>
      </c>
      <c r="H15" s="468" t="s">
        <v>93</v>
      </c>
    </row>
    <row r="16" spans="1:8" ht="13.5" thickBot="1" x14ac:dyDescent="0.25">
      <c r="A16" s="461"/>
      <c r="B16" s="465"/>
      <c r="C16" s="466"/>
      <c r="D16" s="466"/>
      <c r="E16" s="466"/>
      <c r="F16" s="467"/>
      <c r="G16" s="461"/>
      <c r="H16" s="469"/>
    </row>
    <row r="17" spans="1:10" x14ac:dyDescent="0.2">
      <c r="A17" s="86" t="s">
        <v>168</v>
      </c>
      <c r="B17" s="87"/>
      <c r="C17" s="87"/>
      <c r="D17" s="87"/>
      <c r="E17" s="87"/>
      <c r="F17" s="87"/>
      <c r="G17" s="87"/>
      <c r="H17" s="87"/>
    </row>
    <row r="18" spans="1:10" x14ac:dyDescent="0.2">
      <c r="A18" s="445" t="s">
        <v>1</v>
      </c>
      <c r="B18" s="445"/>
      <c r="C18" s="445" t="s">
        <v>169</v>
      </c>
      <c r="D18" s="445"/>
      <c r="E18" s="445" t="s">
        <v>170</v>
      </c>
      <c r="F18" s="445"/>
      <c r="G18" s="445" t="s">
        <v>171</v>
      </c>
      <c r="H18" s="445"/>
    </row>
    <row r="19" spans="1:10" ht="33" customHeight="1" x14ac:dyDescent="0.2">
      <c r="A19" s="451" t="s">
        <v>205</v>
      </c>
      <c r="B19" s="452"/>
      <c r="C19" s="449">
        <v>150000</v>
      </c>
      <c r="D19" s="450"/>
      <c r="E19" s="482">
        <v>20</v>
      </c>
      <c r="F19" s="483"/>
      <c r="G19" s="449">
        <f>+C19/E19</f>
        <v>7500</v>
      </c>
      <c r="H19" s="450"/>
      <c r="J19" s="101"/>
    </row>
    <row r="20" spans="1:10" ht="15" customHeight="1" x14ac:dyDescent="0.2">
      <c r="A20" s="446" t="s">
        <v>173</v>
      </c>
      <c r="B20" s="447"/>
      <c r="C20" s="456"/>
      <c r="D20" s="456"/>
      <c r="E20" s="455">
        <v>0.1</v>
      </c>
      <c r="F20" s="456"/>
      <c r="G20" s="441">
        <f>+G38*E20</f>
        <v>26.979166666666671</v>
      </c>
      <c r="H20" s="441"/>
    </row>
    <row r="21" spans="1:10" x14ac:dyDescent="0.2">
      <c r="A21" s="87"/>
      <c r="B21" s="87"/>
      <c r="C21" s="442" t="s">
        <v>174</v>
      </c>
      <c r="D21" s="442"/>
      <c r="E21" s="442"/>
      <c r="F21" s="442"/>
      <c r="G21" s="441">
        <f>+G19+G20</f>
        <v>7526.979166666667</v>
      </c>
      <c r="H21" s="441"/>
    </row>
    <row r="22" spans="1:10" x14ac:dyDescent="0.2">
      <c r="C22" s="88"/>
      <c r="D22" s="88"/>
      <c r="E22" s="88"/>
      <c r="F22" s="88"/>
      <c r="G22" s="89"/>
      <c r="H22" s="89"/>
    </row>
    <row r="23" spans="1:10" x14ac:dyDescent="0.2">
      <c r="A23" s="86" t="s">
        <v>175</v>
      </c>
      <c r="B23" s="87"/>
      <c r="C23" s="87"/>
      <c r="D23" s="87"/>
      <c r="E23" s="87"/>
      <c r="F23" s="87"/>
      <c r="G23" s="87"/>
      <c r="H23" s="87"/>
    </row>
    <row r="24" spans="1:10" x14ac:dyDescent="0.2">
      <c r="A24" s="445" t="s">
        <v>1</v>
      </c>
      <c r="B24" s="445"/>
      <c r="C24" s="90" t="s">
        <v>176</v>
      </c>
      <c r="D24" s="90" t="s">
        <v>177</v>
      </c>
      <c r="E24" s="445" t="s">
        <v>3</v>
      </c>
      <c r="F24" s="445"/>
      <c r="G24" s="445" t="s">
        <v>171</v>
      </c>
      <c r="H24" s="445"/>
    </row>
    <row r="25" spans="1:10" x14ac:dyDescent="0.2">
      <c r="A25" s="446"/>
      <c r="B25" s="447"/>
      <c r="C25" s="92"/>
      <c r="D25" s="91"/>
      <c r="E25" s="453"/>
      <c r="F25" s="454"/>
      <c r="G25" s="449"/>
      <c r="H25" s="450"/>
    </row>
    <row r="26" spans="1:10" x14ac:dyDescent="0.2">
      <c r="A26" s="440"/>
      <c r="B26" s="440"/>
      <c r="C26" s="92"/>
      <c r="D26" s="91"/>
      <c r="E26" s="453"/>
      <c r="F26" s="454"/>
      <c r="G26" s="449"/>
      <c r="H26" s="450"/>
    </row>
    <row r="27" spans="1:10" x14ac:dyDescent="0.2">
      <c r="A27" s="93"/>
      <c r="B27" s="93"/>
      <c r="C27" s="442" t="s">
        <v>174</v>
      </c>
      <c r="D27" s="442"/>
      <c r="E27" s="442"/>
      <c r="F27" s="442"/>
      <c r="G27" s="441">
        <f>SUM(G25:H26)</f>
        <v>0</v>
      </c>
      <c r="H27" s="441"/>
    </row>
    <row r="29" spans="1:10" x14ac:dyDescent="0.2">
      <c r="A29" s="86" t="s">
        <v>181</v>
      </c>
      <c r="B29" s="87"/>
      <c r="C29" s="87"/>
      <c r="D29" s="87"/>
      <c r="E29" s="87"/>
      <c r="F29" s="87"/>
      <c r="G29" s="87"/>
      <c r="H29" s="87"/>
    </row>
    <row r="30" spans="1:10" x14ac:dyDescent="0.2">
      <c r="A30" s="445" t="s">
        <v>182</v>
      </c>
      <c r="B30" s="445"/>
      <c r="C30" s="90" t="s">
        <v>183</v>
      </c>
      <c r="D30" s="95" t="s">
        <v>184</v>
      </c>
      <c r="E30" s="445" t="s">
        <v>185</v>
      </c>
      <c r="F30" s="445"/>
      <c r="G30" s="445" t="s">
        <v>171</v>
      </c>
      <c r="H30" s="445"/>
    </row>
    <row r="31" spans="1:10" ht="23.25" customHeight="1" x14ac:dyDescent="0.2">
      <c r="A31" s="385" t="s">
        <v>206</v>
      </c>
      <c r="B31" s="401"/>
      <c r="C31" s="99">
        <v>1</v>
      </c>
      <c r="D31" s="99">
        <v>10</v>
      </c>
      <c r="E31" s="441">
        <v>1000</v>
      </c>
      <c r="F31" s="441"/>
      <c r="G31" s="441">
        <f>+(E31*D31)*C31</f>
        <v>10000</v>
      </c>
      <c r="H31" s="441"/>
    </row>
    <row r="32" spans="1:10" x14ac:dyDescent="0.2">
      <c r="A32" s="93"/>
      <c r="B32" s="93"/>
      <c r="C32" s="442" t="s">
        <v>174</v>
      </c>
      <c r="D32" s="442"/>
      <c r="E32" s="442"/>
      <c r="F32" s="442"/>
      <c r="G32" s="441">
        <f>SUM(G31:H31)</f>
        <v>10000</v>
      </c>
      <c r="H32" s="441"/>
    </row>
    <row r="34" spans="1:8" x14ac:dyDescent="0.2">
      <c r="A34" s="86" t="s">
        <v>186</v>
      </c>
      <c r="B34" s="87"/>
      <c r="C34" s="87"/>
      <c r="D34" s="87"/>
      <c r="E34" s="87"/>
      <c r="F34" s="87"/>
      <c r="G34" s="87"/>
      <c r="H34" s="87"/>
    </row>
    <row r="35" spans="1:8" x14ac:dyDescent="0.2">
      <c r="A35" s="445" t="s">
        <v>187</v>
      </c>
      <c r="B35" s="445"/>
      <c r="C35" s="90" t="s">
        <v>188</v>
      </c>
      <c r="D35" s="95" t="s">
        <v>189</v>
      </c>
      <c r="E35" s="96" t="s">
        <v>190</v>
      </c>
      <c r="F35" s="97" t="s">
        <v>170</v>
      </c>
      <c r="G35" s="445" t="s">
        <v>171</v>
      </c>
      <c r="H35" s="445"/>
    </row>
    <row r="36" spans="1:8" x14ac:dyDescent="0.2">
      <c r="A36" s="440" t="s">
        <v>207</v>
      </c>
      <c r="B36" s="440"/>
      <c r="C36" s="91">
        <v>35000</v>
      </c>
      <c r="D36" s="102">
        <v>0.85</v>
      </c>
      <c r="E36" s="91">
        <f>+C36*(1+D36)</f>
        <v>64750</v>
      </c>
      <c r="F36" s="103">
        <v>240</v>
      </c>
      <c r="G36" s="441">
        <f>+E36/F36</f>
        <v>269.79166666666669</v>
      </c>
      <c r="H36" s="441"/>
    </row>
    <row r="37" spans="1:8" x14ac:dyDescent="0.2">
      <c r="A37" s="440"/>
      <c r="B37" s="440"/>
      <c r="C37" s="91"/>
      <c r="D37" s="92"/>
      <c r="E37" s="91"/>
      <c r="F37" s="92"/>
      <c r="G37" s="441"/>
      <c r="H37" s="441"/>
    </row>
    <row r="38" spans="1:8" x14ac:dyDescent="0.2">
      <c r="A38" s="93"/>
      <c r="B38" s="93"/>
      <c r="C38" s="442" t="s">
        <v>174</v>
      </c>
      <c r="D38" s="442"/>
      <c r="E38" s="442"/>
      <c r="F38" s="442"/>
      <c r="G38" s="441">
        <f>+G36+G37</f>
        <v>269.79166666666669</v>
      </c>
      <c r="H38" s="441"/>
    </row>
    <row r="41" spans="1:8" x14ac:dyDescent="0.2">
      <c r="A41" s="443" t="s">
        <v>193</v>
      </c>
      <c r="B41" s="443"/>
      <c r="C41" s="443"/>
      <c r="D41" s="443"/>
      <c r="E41" s="443"/>
      <c r="F41" s="443"/>
      <c r="G41" s="444">
        <f>+ROUND(G21+G27+G32+G38,0)</f>
        <v>17797</v>
      </c>
      <c r="H41" s="444"/>
    </row>
    <row r="42" spans="1:8" x14ac:dyDescent="0.2">
      <c r="G42" s="308">
        <f>+G41</f>
        <v>17797</v>
      </c>
    </row>
  </sheetData>
  <mergeCells count="56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C21:F21"/>
    <mergeCell ref="G21:H21"/>
    <mergeCell ref="A24:B24"/>
    <mergeCell ref="E24:F24"/>
    <mergeCell ref="G24:H24"/>
    <mergeCell ref="A25:B25"/>
    <mergeCell ref="E25:F25"/>
    <mergeCell ref="G25:H25"/>
    <mergeCell ref="A35:B35"/>
    <mergeCell ref="G35:H35"/>
    <mergeCell ref="A26:B26"/>
    <mergeCell ref="E26:F26"/>
    <mergeCell ref="G26:H26"/>
    <mergeCell ref="C27:F27"/>
    <mergeCell ref="G27:H27"/>
    <mergeCell ref="A30:B30"/>
    <mergeCell ref="E30:F30"/>
    <mergeCell ref="G30:H30"/>
    <mergeCell ref="A31:B31"/>
    <mergeCell ref="E31:F31"/>
    <mergeCell ref="G31:H31"/>
    <mergeCell ref="C32:F32"/>
    <mergeCell ref="G32:H32"/>
    <mergeCell ref="A41:F41"/>
    <mergeCell ref="G41:H41"/>
    <mergeCell ref="A36:B36"/>
    <mergeCell ref="G36:H36"/>
    <mergeCell ref="A37:B37"/>
    <mergeCell ref="G37:H37"/>
    <mergeCell ref="C38:F38"/>
    <mergeCell ref="G38:H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8"/>
  <sheetViews>
    <sheetView workbookViewId="0">
      <selection activeCell="G47" sqref="G47:H47"/>
    </sheetView>
  </sheetViews>
  <sheetFormatPr baseColWidth="10" defaultRowHeight="15" x14ac:dyDescent="0.25"/>
  <sheetData>
    <row r="1" spans="1:10" s="159" customFormat="1" ht="18" x14ac:dyDescent="0.2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10" s="159" customFormat="1" ht="12.75" x14ac:dyDescent="0.2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10" s="159" customFormat="1" ht="12.75" x14ac:dyDescent="0.2">
      <c r="A3" s="486"/>
      <c r="B3" s="487"/>
      <c r="C3" s="160"/>
      <c r="D3" s="161"/>
      <c r="E3" s="161"/>
      <c r="F3" s="162"/>
      <c r="G3" s="486"/>
      <c r="H3" s="487"/>
    </row>
    <row r="4" spans="1:10" s="159" customFormat="1" ht="12.75" x14ac:dyDescent="0.2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10" s="159" customFormat="1" ht="12.75" x14ac:dyDescent="0.2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10" s="159" customFormat="1" ht="13.5" thickBot="1" x14ac:dyDescent="0.25">
      <c r="A6" s="488"/>
      <c r="B6" s="489"/>
      <c r="C6" s="163"/>
      <c r="D6" s="164"/>
      <c r="E6" s="164"/>
      <c r="F6" s="165"/>
      <c r="G6" s="488"/>
      <c r="H6" s="489"/>
    </row>
    <row r="7" spans="1:10" s="159" customFormat="1" ht="12.75" x14ac:dyDescent="0.2"/>
    <row r="8" spans="1:10" s="159" customFormat="1" ht="13.5" thickBot="1" x14ac:dyDescent="0.25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10" s="159" customFormat="1" ht="13.5" thickBot="1" x14ac:dyDescent="0.25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10" s="159" customFormat="1" ht="13.5" thickBot="1" x14ac:dyDescent="0.25">
      <c r="E10" s="167"/>
    </row>
    <row r="11" spans="1:10" s="159" customFormat="1" ht="54" customHeight="1" x14ac:dyDescent="0.2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10" s="159" customFormat="1" ht="17.25" customHeight="1" x14ac:dyDescent="0.2">
      <c r="A12" s="410"/>
      <c r="B12" s="411"/>
      <c r="C12" s="411"/>
      <c r="D12" s="411"/>
      <c r="E12" s="411"/>
      <c r="F12" s="411"/>
      <c r="G12" s="411"/>
      <c r="H12" s="412"/>
    </row>
    <row r="13" spans="1:10" s="159" customFormat="1" ht="17.25" customHeight="1" thickBot="1" x14ac:dyDescent="0.25">
      <c r="A13" s="413"/>
      <c r="B13" s="414"/>
      <c r="C13" s="414"/>
      <c r="D13" s="414"/>
      <c r="E13" s="414"/>
      <c r="F13" s="414"/>
      <c r="G13" s="414"/>
      <c r="H13" s="415"/>
    </row>
    <row r="14" spans="1:10" s="159" customFormat="1" ht="13.5" thickBot="1" x14ac:dyDescent="0.25">
      <c r="A14" s="168"/>
    </row>
    <row r="15" spans="1:10" s="159" customFormat="1" ht="12.75" x14ac:dyDescent="0.2">
      <c r="A15" s="416" t="s">
        <v>275</v>
      </c>
      <c r="B15" s="499" t="s">
        <v>263</v>
      </c>
      <c r="C15" s="500"/>
      <c r="D15" s="500"/>
      <c r="E15" s="500"/>
      <c r="F15" s="501"/>
      <c r="G15" s="505" t="s">
        <v>250</v>
      </c>
      <c r="H15" s="507" t="s">
        <v>102</v>
      </c>
    </row>
    <row r="16" spans="1:10" s="159" customFormat="1" ht="24.75" customHeight="1" thickBot="1" x14ac:dyDescent="0.25">
      <c r="A16" s="417"/>
      <c r="B16" s="502"/>
      <c r="C16" s="503"/>
      <c r="D16" s="503"/>
      <c r="E16" s="503"/>
      <c r="F16" s="504"/>
      <c r="G16" s="506"/>
      <c r="H16" s="508"/>
      <c r="J16" s="169"/>
    </row>
    <row r="17" spans="1:8" s="159" customFormat="1" ht="13.5" x14ac:dyDescent="0.2">
      <c r="A17" s="170" t="s">
        <v>168</v>
      </c>
    </row>
    <row r="18" spans="1:8" s="159" customFormat="1" ht="12.75" x14ac:dyDescent="0.2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s="159" customFormat="1" ht="12.75" x14ac:dyDescent="0.2">
      <c r="A19" s="510" t="s">
        <v>276</v>
      </c>
      <c r="B19" s="511"/>
      <c r="C19" s="512">
        <v>300000</v>
      </c>
      <c r="D19" s="512"/>
      <c r="E19" s="513">
        <v>100</v>
      </c>
      <c r="F19" s="513"/>
      <c r="G19" s="514">
        <f>+C19/E19</f>
        <v>3000</v>
      </c>
      <c r="H19" s="515"/>
    </row>
    <row r="20" spans="1:8" s="159" customFormat="1" ht="12.75" x14ac:dyDescent="0.2">
      <c r="A20" s="510" t="s">
        <v>277</v>
      </c>
      <c r="B20" s="511"/>
      <c r="C20" s="512">
        <v>45000</v>
      </c>
      <c r="D20" s="512"/>
      <c r="E20" s="513">
        <v>100</v>
      </c>
      <c r="F20" s="513"/>
      <c r="G20" s="514">
        <f>+C20/E20</f>
        <v>450</v>
      </c>
      <c r="H20" s="515"/>
    </row>
    <row r="21" spans="1:8" s="159" customFormat="1" ht="12.75" x14ac:dyDescent="0.2">
      <c r="A21" s="510" t="s">
        <v>173</v>
      </c>
      <c r="B21" s="511"/>
      <c r="C21" s="512"/>
      <c r="D21" s="512"/>
      <c r="E21" s="521">
        <v>0.1</v>
      </c>
      <c r="F21" s="522"/>
      <c r="G21" s="514">
        <f>ROUND(E21*G44,0)</f>
        <v>305</v>
      </c>
      <c r="H21" s="515"/>
    </row>
    <row r="22" spans="1:8" s="159" customFormat="1" ht="12.75" x14ac:dyDescent="0.2">
      <c r="A22" s="171"/>
      <c r="B22" s="171"/>
      <c r="C22" s="523" t="s">
        <v>174</v>
      </c>
      <c r="D22" s="523"/>
      <c r="E22" s="523"/>
      <c r="F22" s="523"/>
      <c r="G22" s="524">
        <f>SUM(G19:H21)</f>
        <v>3755</v>
      </c>
      <c r="H22" s="524"/>
    </row>
    <row r="23" spans="1:8" s="159" customFormat="1" ht="13.5" x14ac:dyDescent="0.25">
      <c r="C23" s="172"/>
      <c r="D23" s="172"/>
      <c r="E23" s="172"/>
      <c r="F23" s="172"/>
      <c r="G23" s="173"/>
      <c r="H23" s="173"/>
    </row>
    <row r="24" spans="1:8" s="159" customFormat="1" ht="13.5" x14ac:dyDescent="0.2">
      <c r="A24" s="170" t="s">
        <v>175</v>
      </c>
      <c r="B24" s="171"/>
      <c r="C24" s="171"/>
      <c r="D24" s="171"/>
      <c r="E24" s="171"/>
      <c r="F24" s="171"/>
      <c r="G24" s="171"/>
      <c r="H24" s="171"/>
    </row>
    <row r="25" spans="1:8" s="159" customFormat="1" ht="12.75" x14ac:dyDescent="0.2">
      <c r="A25" s="509" t="s">
        <v>1</v>
      </c>
      <c r="B25" s="509"/>
      <c r="C25" s="174" t="s">
        <v>176</v>
      </c>
      <c r="D25" s="174" t="s">
        <v>177</v>
      </c>
      <c r="E25" s="509" t="s">
        <v>3</v>
      </c>
      <c r="F25" s="509"/>
      <c r="G25" s="509" t="s">
        <v>171</v>
      </c>
      <c r="H25" s="509"/>
    </row>
    <row r="26" spans="1:8" s="159" customFormat="1" ht="12.75" x14ac:dyDescent="0.2">
      <c r="A26" s="516" t="s">
        <v>265</v>
      </c>
      <c r="B26" s="517"/>
      <c r="C26" s="175" t="s">
        <v>218</v>
      </c>
      <c r="D26" s="176">
        <v>150</v>
      </c>
      <c r="E26" s="518">
        <f>10/2.2</f>
        <v>4.545454545454545</v>
      </c>
      <c r="F26" s="518"/>
      <c r="G26" s="519">
        <f>ROUND(D26*E26,0)</f>
        <v>682</v>
      </c>
      <c r="H26" s="520"/>
    </row>
    <row r="27" spans="1:8" s="159" customFormat="1" ht="12.75" x14ac:dyDescent="0.2">
      <c r="A27" s="516" t="s">
        <v>266</v>
      </c>
      <c r="B27" s="517"/>
      <c r="C27" s="175" t="s">
        <v>218</v>
      </c>
      <c r="D27" s="176">
        <v>56000</v>
      </c>
      <c r="E27" s="518">
        <f>+E26/4</f>
        <v>1.1363636363636362</v>
      </c>
      <c r="F27" s="518"/>
      <c r="G27" s="519">
        <f>ROUND(D27*E27,0)</f>
        <v>63636</v>
      </c>
      <c r="H27" s="520"/>
    </row>
    <row r="28" spans="1:8" s="159" customFormat="1" ht="12.75" x14ac:dyDescent="0.2">
      <c r="A28" s="516" t="s">
        <v>267</v>
      </c>
      <c r="B28" s="517"/>
      <c r="C28" s="175" t="s">
        <v>218</v>
      </c>
      <c r="D28" s="176">
        <v>3500</v>
      </c>
      <c r="E28" s="518">
        <f>+E27</f>
        <v>1.1363636363636362</v>
      </c>
      <c r="F28" s="518"/>
      <c r="G28" s="519">
        <f>ROUND(D28*E28,0)</f>
        <v>3977</v>
      </c>
      <c r="H28" s="520"/>
    </row>
    <row r="29" spans="1:8" s="159" customFormat="1" ht="12.75" x14ac:dyDescent="0.2">
      <c r="A29" s="516" t="s">
        <v>268</v>
      </c>
      <c r="B29" s="517"/>
      <c r="C29" s="177"/>
      <c r="D29" s="178"/>
      <c r="E29" s="525">
        <v>0.05</v>
      </c>
      <c r="F29" s="525"/>
      <c r="G29" s="514">
        <f>ROUND(SUM(G26:H28)*E29,0)</f>
        <v>3415</v>
      </c>
      <c r="H29" s="515"/>
    </row>
    <row r="30" spans="1:8" s="159" customFormat="1" ht="12.75" x14ac:dyDescent="0.2">
      <c r="A30" s="516"/>
      <c r="B30" s="517"/>
      <c r="C30" s="177"/>
      <c r="D30" s="178"/>
      <c r="E30" s="526"/>
      <c r="F30" s="526"/>
      <c r="G30" s="514"/>
      <c r="H30" s="515"/>
    </row>
    <row r="31" spans="1:8" s="159" customFormat="1" ht="12.75" x14ac:dyDescent="0.2">
      <c r="A31" s="179"/>
      <c r="B31" s="179"/>
      <c r="C31" s="523" t="s">
        <v>174</v>
      </c>
      <c r="D31" s="523"/>
      <c r="E31" s="523"/>
      <c r="F31" s="523"/>
      <c r="G31" s="524">
        <f>SUM(G26:H29)</f>
        <v>71710</v>
      </c>
      <c r="H31" s="524"/>
    </row>
    <row r="32" spans="1:8" s="159" customFormat="1" ht="12.75" x14ac:dyDescent="0.2"/>
    <row r="33" spans="1:12" s="159" customFormat="1" ht="13.5" x14ac:dyDescent="0.2">
      <c r="A33" s="170" t="s">
        <v>181</v>
      </c>
      <c r="B33" s="171"/>
      <c r="C33" s="171"/>
      <c r="D33" s="171"/>
      <c r="E33" s="171"/>
      <c r="F33" s="171"/>
      <c r="G33" s="171"/>
      <c r="H33" s="171"/>
    </row>
    <row r="34" spans="1:12" s="159" customFormat="1" ht="12.75" x14ac:dyDescent="0.2">
      <c r="A34" s="509" t="s">
        <v>182</v>
      </c>
      <c r="B34" s="509"/>
      <c r="C34" s="180" t="s">
        <v>183</v>
      </c>
      <c r="D34" s="181" t="s">
        <v>184</v>
      </c>
      <c r="E34" s="174" t="s">
        <v>269</v>
      </c>
      <c r="F34" s="174" t="s">
        <v>270</v>
      </c>
      <c r="G34" s="509" t="s">
        <v>171</v>
      </c>
      <c r="H34" s="509"/>
    </row>
    <row r="35" spans="1:12" s="159" customFormat="1" ht="12.75" x14ac:dyDescent="0.2">
      <c r="A35" s="527" t="s">
        <v>271</v>
      </c>
      <c r="B35" s="527"/>
      <c r="C35" s="182">
        <v>1</v>
      </c>
      <c r="D35" s="183">
        <v>1</v>
      </c>
      <c r="E35" s="184">
        <f>+C35*D35</f>
        <v>1</v>
      </c>
      <c r="F35" s="184">
        <v>1000</v>
      </c>
      <c r="G35" s="528">
        <f>+F35*E35</f>
        <v>1000</v>
      </c>
      <c r="H35" s="528"/>
    </row>
    <row r="36" spans="1:12" s="159" customFormat="1" ht="12.75" x14ac:dyDescent="0.2">
      <c r="A36" s="527" t="s">
        <v>272</v>
      </c>
      <c r="B36" s="527"/>
      <c r="C36" s="182">
        <v>1</v>
      </c>
      <c r="D36" s="183">
        <v>1</v>
      </c>
      <c r="E36" s="184">
        <f>+C36*D36</f>
        <v>1</v>
      </c>
      <c r="F36" s="184">
        <v>1000</v>
      </c>
      <c r="G36" s="528">
        <f>+F36*E36</f>
        <v>1000</v>
      </c>
      <c r="H36" s="528"/>
    </row>
    <row r="37" spans="1:12" s="159" customFormat="1" ht="12.75" x14ac:dyDescent="0.2">
      <c r="A37" s="527" t="s">
        <v>273</v>
      </c>
      <c r="B37" s="527"/>
      <c r="C37" s="182">
        <f>0.2*0.2</f>
        <v>4.0000000000000008E-2</v>
      </c>
      <c r="D37" s="183">
        <v>20</v>
      </c>
      <c r="E37" s="184">
        <f>+C37*D37</f>
        <v>0.80000000000000016</v>
      </c>
      <c r="F37" s="184">
        <v>1000</v>
      </c>
      <c r="G37" s="528">
        <f>+F37*E37</f>
        <v>800.00000000000011</v>
      </c>
      <c r="H37" s="528"/>
    </row>
    <row r="38" spans="1:12" s="159" customFormat="1" ht="12.75" x14ac:dyDescent="0.2">
      <c r="A38" s="179"/>
      <c r="B38" s="179"/>
      <c r="C38" s="523" t="s">
        <v>174</v>
      </c>
      <c r="D38" s="523"/>
      <c r="E38" s="523"/>
      <c r="F38" s="523"/>
      <c r="G38" s="524">
        <f>SUM(G35:H37)</f>
        <v>2800</v>
      </c>
      <c r="H38" s="524"/>
    </row>
    <row r="39" spans="1:12" s="159" customFormat="1" ht="12.75" x14ac:dyDescent="0.2"/>
    <row r="40" spans="1:12" s="159" customFormat="1" ht="13.5" x14ac:dyDescent="0.2">
      <c r="A40" s="170" t="s">
        <v>186</v>
      </c>
      <c r="B40" s="171"/>
      <c r="C40" s="171"/>
      <c r="D40" s="171"/>
      <c r="E40" s="171"/>
      <c r="F40" s="171"/>
      <c r="G40" s="171"/>
      <c r="H40" s="171"/>
    </row>
    <row r="41" spans="1:12" s="159" customFormat="1" ht="12.75" x14ac:dyDescent="0.2">
      <c r="A41" s="509" t="s">
        <v>187</v>
      </c>
      <c r="B41" s="509"/>
      <c r="C41" s="174" t="s">
        <v>188</v>
      </c>
      <c r="D41" s="181" t="s">
        <v>189</v>
      </c>
      <c r="E41" s="185" t="s">
        <v>190</v>
      </c>
      <c r="F41" s="186" t="s">
        <v>170</v>
      </c>
      <c r="G41" s="509" t="s">
        <v>171</v>
      </c>
      <c r="H41" s="509"/>
      <c r="K41" s="187"/>
      <c r="L41" s="187"/>
    </row>
    <row r="42" spans="1:12" s="159" customFormat="1" ht="12.75" x14ac:dyDescent="0.2">
      <c r="A42" s="529" t="s">
        <v>201</v>
      </c>
      <c r="B42" s="530"/>
      <c r="C42" s="178">
        <v>60000</v>
      </c>
      <c r="D42" s="188">
        <v>1.85</v>
      </c>
      <c r="E42" s="178">
        <f>+C42*D42</f>
        <v>111000</v>
      </c>
      <c r="F42" s="189">
        <v>100</v>
      </c>
      <c r="G42" s="528">
        <f>+ROUND(E42/F42,0)</f>
        <v>1110</v>
      </c>
      <c r="H42" s="528"/>
      <c r="K42" s="190"/>
      <c r="L42" s="190"/>
    </row>
    <row r="43" spans="1:12" s="159" customFormat="1" ht="12.75" x14ac:dyDescent="0.2">
      <c r="A43" s="531" t="s">
        <v>223</v>
      </c>
      <c r="B43" s="531"/>
      <c r="C43" s="178">
        <f>35000*3</f>
        <v>105000</v>
      </c>
      <c r="D43" s="188">
        <v>1.85</v>
      </c>
      <c r="E43" s="178">
        <f>+C43*D43</f>
        <v>194250</v>
      </c>
      <c r="F43" s="189">
        <v>100</v>
      </c>
      <c r="G43" s="528">
        <f>+ROUND(E43/F43,0)</f>
        <v>1943</v>
      </c>
      <c r="H43" s="528"/>
      <c r="K43" s="190"/>
      <c r="L43" s="190"/>
    </row>
    <row r="44" spans="1:12" s="159" customFormat="1" ht="12.75" x14ac:dyDescent="0.2">
      <c r="A44" s="179"/>
      <c r="B44" s="179"/>
      <c r="C44" s="523" t="s">
        <v>174</v>
      </c>
      <c r="D44" s="523"/>
      <c r="E44" s="523"/>
      <c r="F44" s="523"/>
      <c r="G44" s="524">
        <f>SUM(G42:H43)</f>
        <v>3053</v>
      </c>
      <c r="H44" s="524"/>
    </row>
    <row r="45" spans="1:12" s="159" customFormat="1" ht="12.75" x14ac:dyDescent="0.2"/>
    <row r="46" spans="1:12" s="159" customFormat="1" ht="12.75" x14ac:dyDescent="0.2"/>
    <row r="47" spans="1:12" s="159" customFormat="1" ht="12.75" x14ac:dyDescent="0.2">
      <c r="A47" s="532" t="s">
        <v>193</v>
      </c>
      <c r="B47" s="532"/>
      <c r="C47" s="532"/>
      <c r="D47" s="532"/>
      <c r="E47" s="532"/>
      <c r="F47" s="532"/>
      <c r="G47" s="533">
        <f>+ROUND(G22+G31+G38+G44,0)</f>
        <v>81318</v>
      </c>
      <c r="H47" s="534"/>
      <c r="I47" s="191"/>
    </row>
    <row r="48" spans="1:12" x14ac:dyDescent="0.25">
      <c r="G48" s="309">
        <f>+G47</f>
        <v>81318</v>
      </c>
    </row>
  </sheetData>
  <mergeCells count="71">
    <mergeCell ref="A43:B43"/>
    <mergeCell ref="G43:H43"/>
    <mergeCell ref="C44:F44"/>
    <mergeCell ref="G44:H44"/>
    <mergeCell ref="A47:F47"/>
    <mergeCell ref="G47:H47"/>
    <mergeCell ref="C38:F38"/>
    <mergeCell ref="G38:H38"/>
    <mergeCell ref="A41:B41"/>
    <mergeCell ref="G41:H41"/>
    <mergeCell ref="A42:B42"/>
    <mergeCell ref="G42:H42"/>
    <mergeCell ref="A35:B35"/>
    <mergeCell ref="G35:H35"/>
    <mergeCell ref="A36:B36"/>
    <mergeCell ref="G36:H36"/>
    <mergeCell ref="A37:B37"/>
    <mergeCell ref="G37:H37"/>
    <mergeCell ref="A29:B29"/>
    <mergeCell ref="E29:F29"/>
    <mergeCell ref="G29:H29"/>
    <mergeCell ref="A34:B34"/>
    <mergeCell ref="G34:H34"/>
    <mergeCell ref="A30:B30"/>
    <mergeCell ref="E30:F30"/>
    <mergeCell ref="G30:H30"/>
    <mergeCell ref="C31:F31"/>
    <mergeCell ref="G31:H31"/>
    <mergeCell ref="A27:B27"/>
    <mergeCell ref="E27:F27"/>
    <mergeCell ref="G27:H27"/>
    <mergeCell ref="A28:B28"/>
    <mergeCell ref="E28:F28"/>
    <mergeCell ref="G28:H28"/>
    <mergeCell ref="A26:B26"/>
    <mergeCell ref="E26:F26"/>
    <mergeCell ref="G26:H26"/>
    <mergeCell ref="A20:B20"/>
    <mergeCell ref="C20:D20"/>
    <mergeCell ref="E20:F20"/>
    <mergeCell ref="G20:H20"/>
    <mergeCell ref="A21:B21"/>
    <mergeCell ref="C21:D21"/>
    <mergeCell ref="E21:F21"/>
    <mergeCell ref="G21:H21"/>
    <mergeCell ref="C22:F22"/>
    <mergeCell ref="G22:H22"/>
    <mergeCell ref="A25:B25"/>
    <mergeCell ref="E25:F25"/>
    <mergeCell ref="G25:H25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zoomScaleNormal="100" workbookViewId="0">
      <selection activeCell="G44" sqref="G44:H44"/>
    </sheetView>
  </sheetViews>
  <sheetFormatPr baseColWidth="10" defaultRowHeight="15" x14ac:dyDescent="0.25"/>
  <sheetData>
    <row r="1" spans="1:8" ht="18" x14ac:dyDescent="0.25">
      <c r="A1" s="484"/>
      <c r="B1" s="485"/>
      <c r="C1" s="490" t="s">
        <v>160</v>
      </c>
      <c r="D1" s="491"/>
      <c r="E1" s="491"/>
      <c r="F1" s="492"/>
      <c r="G1" s="484"/>
      <c r="H1" s="485"/>
    </row>
    <row r="2" spans="1:8" x14ac:dyDescent="0.25">
      <c r="A2" s="486"/>
      <c r="B2" s="487"/>
      <c r="C2" s="493" t="s">
        <v>85</v>
      </c>
      <c r="D2" s="494"/>
      <c r="E2" s="494"/>
      <c r="F2" s="495"/>
      <c r="G2" s="486"/>
      <c r="H2" s="487"/>
    </row>
    <row r="3" spans="1:8" x14ac:dyDescent="0.25">
      <c r="A3" s="486"/>
      <c r="B3" s="487"/>
      <c r="C3" s="160"/>
      <c r="D3" s="161"/>
      <c r="E3" s="161"/>
      <c r="F3" s="162"/>
      <c r="G3" s="486"/>
      <c r="H3" s="487"/>
    </row>
    <row r="4" spans="1:8" x14ac:dyDescent="0.25">
      <c r="A4" s="486"/>
      <c r="B4" s="487"/>
      <c r="C4" s="493" t="s">
        <v>161</v>
      </c>
      <c r="D4" s="494"/>
      <c r="E4" s="494"/>
      <c r="F4" s="495"/>
      <c r="G4" s="486"/>
      <c r="H4" s="487"/>
    </row>
    <row r="5" spans="1:8" x14ac:dyDescent="0.25">
      <c r="A5" s="486"/>
      <c r="B5" s="487"/>
      <c r="C5" s="493" t="s">
        <v>162</v>
      </c>
      <c r="D5" s="494"/>
      <c r="E5" s="494"/>
      <c r="F5" s="495"/>
      <c r="G5" s="486"/>
      <c r="H5" s="487"/>
    </row>
    <row r="6" spans="1:8" ht="15.75" thickBot="1" x14ac:dyDescent="0.3">
      <c r="A6" s="488"/>
      <c r="B6" s="489"/>
      <c r="C6" s="163"/>
      <c r="D6" s="164"/>
      <c r="E6" s="164"/>
      <c r="F6" s="165"/>
      <c r="G6" s="488"/>
      <c r="H6" s="489"/>
    </row>
    <row r="7" spans="1:8" x14ac:dyDescent="0.25">
      <c r="A7" s="159"/>
      <c r="B7" s="159"/>
      <c r="C7" s="159"/>
      <c r="D7" s="159"/>
      <c r="E7" s="159"/>
      <c r="F7" s="159"/>
      <c r="G7" s="159"/>
      <c r="H7" s="159"/>
    </row>
    <row r="8" spans="1:8" ht="15.75" thickBot="1" x14ac:dyDescent="0.3">
      <c r="A8" s="496" t="s">
        <v>163</v>
      </c>
      <c r="B8" s="496"/>
      <c r="C8" s="496"/>
      <c r="D8" s="496"/>
      <c r="E8" s="496"/>
      <c r="F8" s="496"/>
      <c r="G8" s="496"/>
      <c r="H8" s="496"/>
    </row>
    <row r="9" spans="1:8" ht="15.75" thickBot="1" x14ac:dyDescent="0.3">
      <c r="A9" s="166"/>
      <c r="B9" s="166"/>
      <c r="C9" s="166"/>
      <c r="D9" s="166"/>
      <c r="E9" s="166"/>
      <c r="F9" s="166"/>
      <c r="G9" s="497" t="s">
        <v>274</v>
      </c>
      <c r="H9" s="498"/>
    </row>
    <row r="10" spans="1:8" ht="15.75" thickBot="1" x14ac:dyDescent="0.3">
      <c r="A10" s="159"/>
      <c r="B10" s="159"/>
      <c r="C10" s="159"/>
      <c r="D10" s="159"/>
      <c r="E10" s="167"/>
      <c r="F10" s="159"/>
      <c r="G10" s="159"/>
      <c r="H10" s="159"/>
    </row>
    <row r="11" spans="1:8" ht="57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168"/>
      <c r="B14" s="159"/>
      <c r="C14" s="159"/>
      <c r="D14" s="159"/>
      <c r="E14" s="159"/>
      <c r="F14" s="159"/>
      <c r="G14" s="159"/>
      <c r="H14" s="159"/>
    </row>
    <row r="15" spans="1:8" ht="37.5" customHeight="1" x14ac:dyDescent="0.25">
      <c r="A15" s="416" t="s">
        <v>354</v>
      </c>
      <c r="B15" s="499" t="s">
        <v>278</v>
      </c>
      <c r="C15" s="500"/>
      <c r="D15" s="500"/>
      <c r="E15" s="500"/>
      <c r="F15" s="501"/>
      <c r="G15" s="505" t="s">
        <v>250</v>
      </c>
      <c r="H15" s="507" t="s">
        <v>93</v>
      </c>
    </row>
    <row r="16" spans="1:8" ht="15.75" thickBot="1" x14ac:dyDescent="0.3">
      <c r="A16" s="417"/>
      <c r="B16" s="502"/>
      <c r="C16" s="503"/>
      <c r="D16" s="503"/>
      <c r="E16" s="503"/>
      <c r="F16" s="504"/>
      <c r="G16" s="506"/>
      <c r="H16" s="508"/>
    </row>
    <row r="17" spans="1:8" x14ac:dyDescent="0.25">
      <c r="A17" s="170" t="s">
        <v>168</v>
      </c>
      <c r="B17" s="159"/>
      <c r="C17" s="159"/>
      <c r="D17" s="159"/>
      <c r="E17" s="159"/>
      <c r="F17" s="159"/>
      <c r="G17" s="159"/>
      <c r="H17" s="159"/>
    </row>
    <row r="18" spans="1:8" x14ac:dyDescent="0.25">
      <c r="A18" s="509" t="s">
        <v>1</v>
      </c>
      <c r="B18" s="509"/>
      <c r="C18" s="509" t="s">
        <v>169</v>
      </c>
      <c r="D18" s="509"/>
      <c r="E18" s="509" t="s">
        <v>170</v>
      </c>
      <c r="F18" s="509"/>
      <c r="G18" s="509" t="s">
        <v>171</v>
      </c>
      <c r="H18" s="509"/>
    </row>
    <row r="19" spans="1:8" x14ac:dyDescent="0.25">
      <c r="A19" s="510" t="s">
        <v>279</v>
      </c>
      <c r="B19" s="511"/>
      <c r="C19" s="512">
        <v>20000</v>
      </c>
      <c r="D19" s="512"/>
      <c r="E19" s="535">
        <v>10</v>
      </c>
      <c r="F19" s="535"/>
      <c r="G19" s="514">
        <f>+C19/E19</f>
        <v>2000</v>
      </c>
      <c r="H19" s="515"/>
    </row>
    <row r="20" spans="1:8" x14ac:dyDescent="0.25">
      <c r="A20" s="510" t="s">
        <v>280</v>
      </c>
      <c r="B20" s="511"/>
      <c r="C20" s="512">
        <v>30000</v>
      </c>
      <c r="D20" s="512"/>
      <c r="E20" s="535">
        <f>+E19</f>
        <v>10</v>
      </c>
      <c r="F20" s="535"/>
      <c r="G20" s="514">
        <f>+C20/E20</f>
        <v>3000</v>
      </c>
      <c r="H20" s="515"/>
    </row>
    <row r="21" spans="1:8" x14ac:dyDescent="0.25">
      <c r="A21" s="510" t="s">
        <v>281</v>
      </c>
      <c r="B21" s="511"/>
      <c r="C21" s="512">
        <v>20000</v>
      </c>
      <c r="D21" s="512"/>
      <c r="E21" s="535">
        <f>+E20</f>
        <v>10</v>
      </c>
      <c r="F21" s="535"/>
      <c r="G21" s="514">
        <f>+C21/E21</f>
        <v>2000</v>
      </c>
      <c r="H21" s="515"/>
    </row>
    <row r="22" spans="1:8" x14ac:dyDescent="0.25">
      <c r="A22" s="510" t="s">
        <v>264</v>
      </c>
      <c r="B22" s="511"/>
      <c r="C22" s="512"/>
      <c r="D22" s="512"/>
      <c r="E22" s="536">
        <v>0.1</v>
      </c>
      <c r="F22" s="536"/>
      <c r="G22" s="514">
        <f>ROUND(E22*G41,0)</f>
        <v>2544</v>
      </c>
      <c r="H22" s="515"/>
    </row>
    <row r="23" spans="1:8" x14ac:dyDescent="0.25">
      <c r="A23" s="171"/>
      <c r="B23" s="171"/>
      <c r="C23" s="523" t="s">
        <v>174</v>
      </c>
      <c r="D23" s="523"/>
      <c r="E23" s="523"/>
      <c r="F23" s="523"/>
      <c r="G23" s="524">
        <f>SUM(G19:H22)</f>
        <v>9544</v>
      </c>
      <c r="H23" s="524"/>
    </row>
    <row r="24" spans="1:8" x14ac:dyDescent="0.25">
      <c r="A24" s="159"/>
      <c r="B24" s="159"/>
      <c r="C24" s="172"/>
      <c r="D24" s="172"/>
      <c r="E24" s="172"/>
      <c r="F24" s="172"/>
      <c r="G24" s="173"/>
      <c r="H24" s="173"/>
    </row>
    <row r="25" spans="1:8" x14ac:dyDescent="0.25">
      <c r="A25" s="170" t="s">
        <v>175</v>
      </c>
      <c r="B25" s="171"/>
      <c r="C25" s="171"/>
      <c r="D25" s="171"/>
      <c r="E25" s="171"/>
      <c r="F25" s="171"/>
      <c r="G25" s="171"/>
      <c r="H25" s="171"/>
    </row>
    <row r="26" spans="1:8" x14ac:dyDescent="0.25">
      <c r="A26" s="509" t="s">
        <v>1</v>
      </c>
      <c r="B26" s="509"/>
      <c r="C26" s="174" t="s">
        <v>176</v>
      </c>
      <c r="D26" s="174" t="s">
        <v>177</v>
      </c>
      <c r="E26" s="509" t="s">
        <v>3</v>
      </c>
      <c r="F26" s="509"/>
      <c r="G26" s="509" t="s">
        <v>171</v>
      </c>
      <c r="H26" s="509"/>
    </row>
    <row r="27" spans="1:8" x14ac:dyDescent="0.25">
      <c r="A27" s="516" t="s">
        <v>282</v>
      </c>
      <c r="B27" s="517"/>
      <c r="C27" s="177" t="s">
        <v>283</v>
      </c>
      <c r="D27" s="176">
        <v>40</v>
      </c>
      <c r="E27" s="526">
        <v>30</v>
      </c>
      <c r="F27" s="526"/>
      <c r="G27" s="514">
        <f>ROUND(D27*E27,0)</f>
        <v>1200</v>
      </c>
      <c r="H27" s="515"/>
    </row>
    <row r="28" spans="1:8" x14ac:dyDescent="0.25">
      <c r="A28" s="516"/>
      <c r="B28" s="517"/>
      <c r="C28" s="177"/>
      <c r="D28" s="178"/>
      <c r="E28" s="526"/>
      <c r="F28" s="526"/>
      <c r="G28" s="514"/>
      <c r="H28" s="515"/>
    </row>
    <row r="29" spans="1:8" x14ac:dyDescent="0.25">
      <c r="A29" s="179"/>
      <c r="B29" s="179"/>
      <c r="C29" s="523" t="s">
        <v>174</v>
      </c>
      <c r="D29" s="523"/>
      <c r="E29" s="523"/>
      <c r="F29" s="523"/>
      <c r="G29" s="524">
        <f>SUM(G27:H27)</f>
        <v>1200</v>
      </c>
      <c r="H29" s="524"/>
    </row>
    <row r="30" spans="1:8" x14ac:dyDescent="0.25">
      <c r="A30" s="159"/>
      <c r="B30" s="159"/>
      <c r="C30" s="159"/>
      <c r="D30" s="159"/>
      <c r="E30" s="159"/>
      <c r="F30" s="159"/>
      <c r="G30" s="159"/>
      <c r="H30" s="159"/>
    </row>
    <row r="31" spans="1:8" x14ac:dyDescent="0.25">
      <c r="A31" s="170" t="s">
        <v>181</v>
      </c>
      <c r="B31" s="171"/>
      <c r="C31" s="171"/>
      <c r="D31" s="171"/>
      <c r="E31" s="171"/>
      <c r="F31" s="171"/>
      <c r="G31" s="171"/>
      <c r="H31" s="171"/>
    </row>
    <row r="32" spans="1:8" x14ac:dyDescent="0.25">
      <c r="A32" s="509" t="s">
        <v>182</v>
      </c>
      <c r="B32" s="509"/>
      <c r="C32" s="180" t="s">
        <v>183</v>
      </c>
      <c r="D32" s="181" t="s">
        <v>184</v>
      </c>
      <c r="E32" s="174" t="s">
        <v>269</v>
      </c>
      <c r="F32" s="174" t="s">
        <v>270</v>
      </c>
      <c r="G32" s="509" t="s">
        <v>171</v>
      </c>
      <c r="H32" s="509"/>
    </row>
    <row r="33" spans="1:8" x14ac:dyDescent="0.25">
      <c r="A33" s="527" t="s">
        <v>272</v>
      </c>
      <c r="B33" s="527"/>
      <c r="C33" s="182">
        <v>1.3</v>
      </c>
      <c r="D33" s="183">
        <v>0.7</v>
      </c>
      <c r="E33" s="184">
        <f>+C33*D33</f>
        <v>0.90999999999999992</v>
      </c>
      <c r="F33" s="184">
        <v>1000</v>
      </c>
      <c r="G33" s="528">
        <f>+F33*E33</f>
        <v>909.99999999999989</v>
      </c>
      <c r="H33" s="528"/>
    </row>
    <row r="34" spans="1:8" x14ac:dyDescent="0.25">
      <c r="A34" s="527"/>
      <c r="B34" s="527"/>
      <c r="C34" s="182"/>
      <c r="D34" s="183"/>
      <c r="E34" s="184"/>
      <c r="F34" s="184"/>
      <c r="G34" s="528">
        <f>+F34*E34</f>
        <v>0</v>
      </c>
      <c r="H34" s="528"/>
    </row>
    <row r="35" spans="1:8" x14ac:dyDescent="0.25">
      <c r="A35" s="179"/>
      <c r="B35" s="179"/>
      <c r="C35" s="523" t="s">
        <v>174</v>
      </c>
      <c r="D35" s="523"/>
      <c r="E35" s="523"/>
      <c r="F35" s="523"/>
      <c r="G35" s="524">
        <f>SUM(G33:H34)</f>
        <v>909.99999999999989</v>
      </c>
      <c r="H35" s="524"/>
    </row>
    <row r="36" spans="1:8" x14ac:dyDescent="0.25">
      <c r="A36" s="159"/>
      <c r="B36" s="159"/>
      <c r="C36" s="159"/>
      <c r="D36" s="159"/>
      <c r="E36" s="159"/>
      <c r="F36" s="159"/>
      <c r="G36" s="159"/>
      <c r="H36" s="159"/>
    </row>
    <row r="37" spans="1:8" x14ac:dyDescent="0.25">
      <c r="A37" s="170" t="s">
        <v>186</v>
      </c>
      <c r="B37" s="171"/>
      <c r="C37" s="171"/>
      <c r="D37" s="171"/>
      <c r="E37" s="171"/>
      <c r="F37" s="171"/>
      <c r="G37" s="171"/>
      <c r="H37" s="171"/>
    </row>
    <row r="38" spans="1:8" x14ac:dyDescent="0.25">
      <c r="A38" s="509" t="s">
        <v>187</v>
      </c>
      <c r="B38" s="509"/>
      <c r="C38" s="174" t="s">
        <v>188</v>
      </c>
      <c r="D38" s="181" t="s">
        <v>189</v>
      </c>
      <c r="E38" s="185" t="s">
        <v>190</v>
      </c>
      <c r="F38" s="186" t="s">
        <v>170</v>
      </c>
      <c r="G38" s="509" t="s">
        <v>171</v>
      </c>
      <c r="H38" s="509"/>
    </row>
    <row r="39" spans="1:8" x14ac:dyDescent="0.25">
      <c r="A39" s="529" t="s">
        <v>201</v>
      </c>
      <c r="B39" s="530"/>
      <c r="C39" s="178">
        <v>60000</v>
      </c>
      <c r="D39" s="188">
        <v>1.85</v>
      </c>
      <c r="E39" s="178">
        <f>+C39*D39</f>
        <v>111000</v>
      </c>
      <c r="F39" s="192">
        <v>12</v>
      </c>
      <c r="G39" s="528">
        <f>+ROUND(E39/F39,0)</f>
        <v>9250</v>
      </c>
      <c r="H39" s="528"/>
    </row>
    <row r="40" spans="1:8" x14ac:dyDescent="0.25">
      <c r="A40" s="531" t="s">
        <v>223</v>
      </c>
      <c r="B40" s="531"/>
      <c r="C40" s="178">
        <f>35000*3</f>
        <v>105000</v>
      </c>
      <c r="D40" s="188">
        <v>1.85</v>
      </c>
      <c r="E40" s="178">
        <f>+C40*D40</f>
        <v>194250</v>
      </c>
      <c r="F40" s="189">
        <v>12</v>
      </c>
      <c r="G40" s="528">
        <f>+ROUND(E40/F40,0)</f>
        <v>16188</v>
      </c>
      <c r="H40" s="528"/>
    </row>
    <row r="41" spans="1:8" x14ac:dyDescent="0.25">
      <c r="A41" s="179"/>
      <c r="B41" s="179"/>
      <c r="C41" s="523" t="s">
        <v>174</v>
      </c>
      <c r="D41" s="523"/>
      <c r="E41" s="523"/>
      <c r="F41" s="523"/>
      <c r="G41" s="524">
        <f>SUM(G39:H40)</f>
        <v>25438</v>
      </c>
      <c r="H41" s="524"/>
    </row>
    <row r="42" spans="1:8" x14ac:dyDescent="0.25">
      <c r="A42" s="159"/>
      <c r="B42" s="159"/>
      <c r="C42" s="159"/>
      <c r="D42" s="159"/>
      <c r="E42" s="159"/>
      <c r="F42" s="159"/>
      <c r="G42" s="159"/>
      <c r="H42" s="159"/>
    </row>
    <row r="43" spans="1:8" x14ac:dyDescent="0.25">
      <c r="A43" s="159"/>
      <c r="B43" s="159"/>
      <c r="C43" s="159"/>
      <c r="D43" s="159"/>
      <c r="E43" s="159"/>
      <c r="F43" s="159"/>
      <c r="G43" s="159"/>
      <c r="H43" s="159"/>
    </row>
    <row r="44" spans="1:8" x14ac:dyDescent="0.25">
      <c r="A44" s="532" t="s">
        <v>193</v>
      </c>
      <c r="B44" s="532"/>
      <c r="C44" s="532"/>
      <c r="D44" s="532"/>
      <c r="E44" s="532"/>
      <c r="F44" s="532"/>
      <c r="G44" s="533">
        <f>+ROUND(G23+G29+G35+G41,0)</f>
        <v>37092</v>
      </c>
      <c r="H44" s="534"/>
    </row>
    <row r="45" spans="1:8" x14ac:dyDescent="0.25">
      <c r="G45" s="309">
        <f>+G44</f>
        <v>37092</v>
      </c>
    </row>
  </sheetData>
  <mergeCells count="64">
    <mergeCell ref="C35:F35"/>
    <mergeCell ref="G35:H35"/>
    <mergeCell ref="A38:B38"/>
    <mergeCell ref="G38:H38"/>
    <mergeCell ref="A44:F44"/>
    <mergeCell ref="G44:H44"/>
    <mergeCell ref="A39:B39"/>
    <mergeCell ref="G39:H39"/>
    <mergeCell ref="A40:B40"/>
    <mergeCell ref="G40:H40"/>
    <mergeCell ref="C41:F41"/>
    <mergeCell ref="G41:H41"/>
    <mergeCell ref="A32:B32"/>
    <mergeCell ref="G32:H32"/>
    <mergeCell ref="A33:B33"/>
    <mergeCell ref="G33:H33"/>
    <mergeCell ref="A34:B34"/>
    <mergeCell ref="G34:H34"/>
    <mergeCell ref="A28:B28"/>
    <mergeCell ref="E28:F28"/>
    <mergeCell ref="G28:H28"/>
    <mergeCell ref="C29:F29"/>
    <mergeCell ref="G29:H29"/>
    <mergeCell ref="A26:B26"/>
    <mergeCell ref="E26:F26"/>
    <mergeCell ref="G26:H26"/>
    <mergeCell ref="A27:B27"/>
    <mergeCell ref="E27:F27"/>
    <mergeCell ref="G27:H27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8:H8"/>
    <mergeCell ref="G9:H9"/>
    <mergeCell ref="A11:H13"/>
    <mergeCell ref="A15:A16"/>
    <mergeCell ref="B15:F16"/>
    <mergeCell ref="G15:G16"/>
    <mergeCell ref="H15:H16"/>
    <mergeCell ref="A1:B6"/>
    <mergeCell ref="C1:F1"/>
    <mergeCell ref="G1:H6"/>
    <mergeCell ref="C2:F2"/>
    <mergeCell ref="C4:F4"/>
    <mergeCell ref="C5:F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workbookViewId="0">
      <selection activeCell="G44" sqref="G44:H44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2.28515625" customWidth="1"/>
    <col min="8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/>
    <row r="11" spans="1:8" ht="60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ht="12.75" customHeight="1" x14ac:dyDescent="0.25">
      <c r="A15" s="416" t="s">
        <v>374</v>
      </c>
      <c r="B15" s="418" t="s">
        <v>209</v>
      </c>
      <c r="C15" s="419"/>
      <c r="D15" s="419"/>
      <c r="E15" s="419"/>
      <c r="F15" s="420"/>
      <c r="G15" s="416" t="s">
        <v>166</v>
      </c>
      <c r="H15" s="426" t="s">
        <v>102</v>
      </c>
    </row>
    <row r="16" spans="1:8" ht="28.5" customHeight="1" thickBot="1" x14ac:dyDescent="0.3">
      <c r="A16" s="417"/>
      <c r="B16" s="421"/>
      <c r="C16" s="422"/>
      <c r="D16" s="422"/>
      <c r="E16" s="422"/>
      <c r="F16" s="423"/>
      <c r="G16" s="417"/>
      <c r="H16" s="427"/>
    </row>
    <row r="17" spans="1:8" x14ac:dyDescent="0.25">
      <c r="A17" s="105" t="s">
        <v>168</v>
      </c>
      <c r="B17" s="46"/>
      <c r="C17" s="46"/>
      <c r="D17" s="46"/>
      <c r="E17" s="46"/>
      <c r="F17" s="46"/>
      <c r="G17" s="46"/>
      <c r="H17" s="106"/>
    </row>
    <row r="18" spans="1:8" x14ac:dyDescent="0.25">
      <c r="A18" s="384" t="s">
        <v>1</v>
      </c>
      <c r="B18" s="384"/>
      <c r="C18" s="384" t="s">
        <v>169</v>
      </c>
      <c r="D18" s="384"/>
      <c r="E18" s="384" t="s">
        <v>170</v>
      </c>
      <c r="F18" s="384"/>
      <c r="G18" s="384" t="s">
        <v>171</v>
      </c>
      <c r="H18" s="384"/>
    </row>
    <row r="19" spans="1:8" x14ac:dyDescent="0.25">
      <c r="A19" s="539" t="s">
        <v>210</v>
      </c>
      <c r="B19" s="540"/>
      <c r="C19" s="380">
        <v>90000</v>
      </c>
      <c r="D19" s="380"/>
      <c r="E19" s="457">
        <v>50</v>
      </c>
      <c r="F19" s="457"/>
      <c r="G19" s="380">
        <f>+C19/E19</f>
        <v>1800</v>
      </c>
      <c r="H19" s="380"/>
    </row>
    <row r="20" spans="1:8" x14ac:dyDescent="0.25">
      <c r="A20" s="539" t="s">
        <v>195</v>
      </c>
      <c r="B20" s="540"/>
      <c r="C20" s="380">
        <v>45000</v>
      </c>
      <c r="D20" s="380"/>
      <c r="E20" s="457">
        <v>50</v>
      </c>
      <c r="F20" s="457"/>
      <c r="G20" s="380">
        <f>+C20/E20</f>
        <v>900</v>
      </c>
      <c r="H20" s="380"/>
    </row>
    <row r="21" spans="1:8" ht="25.5" customHeight="1" x14ac:dyDescent="0.25">
      <c r="A21" s="385" t="s">
        <v>211</v>
      </c>
      <c r="B21" s="401"/>
      <c r="C21" s="380">
        <v>550000</v>
      </c>
      <c r="D21" s="380"/>
      <c r="E21" s="457">
        <v>50</v>
      </c>
      <c r="F21" s="457"/>
      <c r="G21" s="380">
        <f>+C21/E21</f>
        <v>11000</v>
      </c>
      <c r="H21" s="380"/>
    </row>
    <row r="22" spans="1:8" ht="25.5" customHeight="1" x14ac:dyDescent="0.25">
      <c r="A22" s="393" t="s">
        <v>212</v>
      </c>
      <c r="B22" s="394"/>
      <c r="C22" s="380">
        <v>85000</v>
      </c>
      <c r="D22" s="380"/>
      <c r="E22" s="457">
        <v>100</v>
      </c>
      <c r="F22" s="457"/>
      <c r="G22" s="380">
        <f>+C22/E22</f>
        <v>850</v>
      </c>
      <c r="H22" s="380"/>
    </row>
    <row r="23" spans="1:8" x14ac:dyDescent="0.25">
      <c r="A23" s="539" t="s">
        <v>173</v>
      </c>
      <c r="B23" s="540"/>
      <c r="C23" s="380"/>
      <c r="D23" s="380"/>
      <c r="E23" s="541">
        <v>0.1</v>
      </c>
      <c r="F23" s="542"/>
      <c r="G23" s="380">
        <f>+E23*G42</f>
        <v>1517</v>
      </c>
      <c r="H23" s="380"/>
    </row>
    <row r="24" spans="1:8" x14ac:dyDescent="0.25">
      <c r="A24" s="46"/>
      <c r="B24" s="46"/>
      <c r="C24" s="381" t="s">
        <v>174</v>
      </c>
      <c r="D24" s="381"/>
      <c r="E24" s="381"/>
      <c r="F24" s="381"/>
      <c r="G24" s="380">
        <f>SUM(G19:H23)</f>
        <v>16067</v>
      </c>
      <c r="H24" s="380"/>
    </row>
    <row r="25" spans="1:8" x14ac:dyDescent="0.25">
      <c r="C25" s="62"/>
      <c r="D25" s="62"/>
      <c r="E25" s="62"/>
      <c r="F25" s="62"/>
      <c r="G25" s="63"/>
      <c r="H25" s="63"/>
    </row>
    <row r="26" spans="1:8" x14ac:dyDescent="0.25">
      <c r="A26" s="105" t="s">
        <v>175</v>
      </c>
      <c r="B26" s="46"/>
      <c r="C26" s="46"/>
      <c r="D26" s="46"/>
      <c r="E26" s="46"/>
      <c r="F26" s="46"/>
      <c r="G26" s="46"/>
      <c r="H26" s="46"/>
    </row>
    <row r="27" spans="1:8" x14ac:dyDescent="0.25">
      <c r="A27" s="384" t="s">
        <v>1</v>
      </c>
      <c r="B27" s="384"/>
      <c r="C27" s="64" t="s">
        <v>176</v>
      </c>
      <c r="D27" s="64" t="s">
        <v>177</v>
      </c>
      <c r="E27" s="384" t="s">
        <v>3</v>
      </c>
      <c r="F27" s="384"/>
      <c r="G27" s="384" t="s">
        <v>171</v>
      </c>
      <c r="H27" s="384"/>
    </row>
    <row r="28" spans="1:8" x14ac:dyDescent="0.25">
      <c r="A28" s="539" t="s">
        <v>198</v>
      </c>
      <c r="B28" s="540"/>
      <c r="C28" s="67" t="s">
        <v>199</v>
      </c>
      <c r="D28" s="67">
        <v>80000</v>
      </c>
      <c r="E28" s="457">
        <v>0.2</v>
      </c>
      <c r="F28" s="457"/>
      <c r="G28" s="391">
        <f>+D28*E28</f>
        <v>16000</v>
      </c>
      <c r="H28" s="392"/>
    </row>
    <row r="29" spans="1:8" x14ac:dyDescent="0.25">
      <c r="A29" s="539" t="s">
        <v>200</v>
      </c>
      <c r="B29" s="540"/>
      <c r="C29" s="67" t="s">
        <v>199</v>
      </c>
      <c r="D29" s="67">
        <v>15000</v>
      </c>
      <c r="E29" s="457">
        <v>0.2</v>
      </c>
      <c r="F29" s="457"/>
      <c r="G29" s="391">
        <f>+D29*E29</f>
        <v>3000</v>
      </c>
      <c r="H29" s="392"/>
    </row>
    <row r="30" spans="1:8" ht="34.5" customHeight="1" x14ac:dyDescent="0.25">
      <c r="A30" s="385" t="s">
        <v>261</v>
      </c>
      <c r="B30" s="401"/>
      <c r="C30" s="67" t="s">
        <v>102</v>
      </c>
      <c r="D30" s="108">
        <v>90000</v>
      </c>
      <c r="E30" s="457">
        <v>1.2</v>
      </c>
      <c r="F30" s="457"/>
      <c r="G30" s="391">
        <f>+D30*E30</f>
        <v>108000</v>
      </c>
      <c r="H30" s="392"/>
    </row>
    <row r="31" spans="1:8" x14ac:dyDescent="0.25">
      <c r="A31" s="70"/>
      <c r="B31" s="70"/>
      <c r="C31" s="381" t="s">
        <v>174</v>
      </c>
      <c r="D31" s="381"/>
      <c r="E31" s="381"/>
      <c r="F31" s="381"/>
      <c r="G31" s="380">
        <f>SUM(G28:G30)</f>
        <v>127000</v>
      </c>
      <c r="H31" s="380"/>
    </row>
    <row r="33" spans="1:8" x14ac:dyDescent="0.25">
      <c r="A33" s="105" t="s">
        <v>181</v>
      </c>
      <c r="B33" s="46"/>
      <c r="C33" s="46"/>
      <c r="D33" s="46"/>
      <c r="E33" s="46"/>
      <c r="F33" s="46"/>
      <c r="G33" s="46"/>
      <c r="H33" s="46"/>
    </row>
    <row r="34" spans="1:8" x14ac:dyDescent="0.25">
      <c r="A34" s="384" t="s">
        <v>182</v>
      </c>
      <c r="B34" s="384"/>
      <c r="C34" s="109" t="s">
        <v>183</v>
      </c>
      <c r="D34" s="64" t="s">
        <v>184</v>
      </c>
      <c r="E34" s="384" t="s">
        <v>185</v>
      </c>
      <c r="F34" s="384"/>
      <c r="G34" s="384" t="s">
        <v>171</v>
      </c>
      <c r="H34" s="384"/>
    </row>
    <row r="35" spans="1:8" ht="35.25" customHeight="1" x14ac:dyDescent="0.25">
      <c r="A35" s="385" t="s">
        <v>213</v>
      </c>
      <c r="B35" s="401"/>
      <c r="C35" s="73">
        <v>1.2</v>
      </c>
      <c r="D35" s="73">
        <v>70</v>
      </c>
      <c r="E35" s="391">
        <v>1000</v>
      </c>
      <c r="F35" s="392"/>
      <c r="G35" s="391">
        <f>+D35*E35*C35</f>
        <v>84000</v>
      </c>
      <c r="H35" s="392"/>
    </row>
    <row r="36" spans="1:8" x14ac:dyDescent="0.25">
      <c r="A36" s="70"/>
      <c r="B36" s="70"/>
      <c r="C36" s="381" t="s">
        <v>174</v>
      </c>
      <c r="D36" s="381"/>
      <c r="E36" s="381"/>
      <c r="F36" s="381"/>
      <c r="G36" s="380">
        <f>+G35</f>
        <v>84000</v>
      </c>
      <c r="H36" s="380"/>
    </row>
    <row r="38" spans="1:8" x14ac:dyDescent="0.25">
      <c r="A38" s="105" t="s">
        <v>186</v>
      </c>
      <c r="B38" s="46"/>
      <c r="C38" s="46"/>
      <c r="D38" s="46"/>
      <c r="E38" s="46"/>
      <c r="F38" s="46"/>
      <c r="G38" s="46"/>
      <c r="H38" s="46"/>
    </row>
    <row r="39" spans="1:8" x14ac:dyDescent="0.25">
      <c r="A39" s="384" t="s">
        <v>187</v>
      </c>
      <c r="B39" s="384"/>
      <c r="C39" s="109" t="s">
        <v>188</v>
      </c>
      <c r="D39" s="72" t="s">
        <v>189</v>
      </c>
      <c r="E39" s="110" t="s">
        <v>190</v>
      </c>
      <c r="F39" s="74" t="s">
        <v>170</v>
      </c>
      <c r="G39" s="384" t="s">
        <v>171</v>
      </c>
      <c r="H39" s="384"/>
    </row>
    <row r="40" spans="1:8" x14ac:dyDescent="0.25">
      <c r="A40" s="539" t="s">
        <v>201</v>
      </c>
      <c r="B40" s="540"/>
      <c r="C40" s="67">
        <v>60000</v>
      </c>
      <c r="D40" s="75">
        <v>0.85</v>
      </c>
      <c r="E40" s="67">
        <f>+((C40*D40)+C40)</f>
        <v>111000</v>
      </c>
      <c r="F40" s="73">
        <v>50</v>
      </c>
      <c r="G40" s="380">
        <f>+E40/F40</f>
        <v>2220</v>
      </c>
      <c r="H40" s="380"/>
    </row>
    <row r="41" spans="1:8" x14ac:dyDescent="0.25">
      <c r="A41" s="379" t="s">
        <v>202</v>
      </c>
      <c r="B41" s="379"/>
      <c r="C41" s="67">
        <v>350000</v>
      </c>
      <c r="D41" s="75">
        <v>0.85</v>
      </c>
      <c r="E41" s="67">
        <f>+((C41*D41)+C41)</f>
        <v>647500</v>
      </c>
      <c r="F41" s="73">
        <v>50</v>
      </c>
      <c r="G41" s="380">
        <f>+E41/F41</f>
        <v>12950</v>
      </c>
      <c r="H41" s="380"/>
    </row>
    <row r="42" spans="1:8" x14ac:dyDescent="0.25">
      <c r="A42" s="70"/>
      <c r="B42" s="70"/>
      <c r="C42" s="381" t="s">
        <v>174</v>
      </c>
      <c r="D42" s="381"/>
      <c r="E42" s="381"/>
      <c r="F42" s="381"/>
      <c r="G42" s="380">
        <f>SUM(G40:H41)</f>
        <v>15170</v>
      </c>
      <c r="H42" s="380"/>
    </row>
    <row r="43" spans="1:8" x14ac:dyDescent="0.25">
      <c r="A43" s="46"/>
      <c r="B43" s="46"/>
      <c r="C43" s="46"/>
      <c r="D43" s="46"/>
      <c r="E43" s="46"/>
      <c r="F43" s="46"/>
      <c r="G43" s="46"/>
      <c r="H43" s="46"/>
    </row>
    <row r="44" spans="1:8" x14ac:dyDescent="0.25">
      <c r="A44" s="537" t="s">
        <v>193</v>
      </c>
      <c r="B44" s="537"/>
      <c r="C44" s="537"/>
      <c r="D44" s="537"/>
      <c r="E44" s="537"/>
      <c r="F44" s="537"/>
      <c r="G44" s="538">
        <f>+ROUND(G24+G31+G36+G42,0)</f>
        <v>242237</v>
      </c>
      <c r="H44" s="538"/>
    </row>
    <row r="45" spans="1:8" x14ac:dyDescent="0.25">
      <c r="G45" s="309">
        <f>+G44</f>
        <v>242237</v>
      </c>
    </row>
  </sheetData>
  <mergeCells count="71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8:B28"/>
    <mergeCell ref="E28:F28"/>
    <mergeCell ref="G28:H28"/>
    <mergeCell ref="A22:B22"/>
    <mergeCell ref="C22:D22"/>
    <mergeCell ref="E22:F22"/>
    <mergeCell ref="G22:H22"/>
    <mergeCell ref="A23:B23"/>
    <mergeCell ref="C23:D23"/>
    <mergeCell ref="E23:F23"/>
    <mergeCell ref="G23:H23"/>
    <mergeCell ref="C24:F24"/>
    <mergeCell ref="G24:H24"/>
    <mergeCell ref="A27:B27"/>
    <mergeCell ref="E27:F27"/>
    <mergeCell ref="G27:H27"/>
    <mergeCell ref="A35:B35"/>
    <mergeCell ref="E35:F35"/>
    <mergeCell ref="G35:H35"/>
    <mergeCell ref="A29:B29"/>
    <mergeCell ref="E29:F29"/>
    <mergeCell ref="G29:H29"/>
    <mergeCell ref="A30:B30"/>
    <mergeCell ref="E30:F30"/>
    <mergeCell ref="G30:H30"/>
    <mergeCell ref="C31:F31"/>
    <mergeCell ref="G31:H31"/>
    <mergeCell ref="A34:B34"/>
    <mergeCell ref="E34:F34"/>
    <mergeCell ref="G34:H34"/>
    <mergeCell ref="C36:F36"/>
    <mergeCell ref="G36:H36"/>
    <mergeCell ref="A39:B39"/>
    <mergeCell ref="G39:H39"/>
    <mergeCell ref="A40:B40"/>
    <mergeCell ref="G40:H40"/>
    <mergeCell ref="A41:B41"/>
    <mergeCell ref="G41:H41"/>
    <mergeCell ref="C42:F42"/>
    <mergeCell ref="G42:H42"/>
    <mergeCell ref="A44:F44"/>
    <mergeCell ref="G44:H4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5"/>
  <sheetViews>
    <sheetView workbookViewId="0">
      <selection activeCell="G44" sqref="G44:H44"/>
    </sheetView>
  </sheetViews>
  <sheetFormatPr baseColWidth="10" defaultRowHeight="15" x14ac:dyDescent="0.25"/>
  <cols>
    <col min="1" max="2" width="9.28515625" customWidth="1"/>
    <col min="3" max="3" width="10.7109375" customWidth="1"/>
    <col min="4" max="4" width="12.140625" customWidth="1"/>
    <col min="7" max="7" width="11.5703125" customWidth="1"/>
    <col min="8" max="8" width="9.28515625" customWidth="1"/>
    <col min="257" max="258" width="9.28515625" customWidth="1"/>
    <col min="259" max="259" width="10.7109375" customWidth="1"/>
    <col min="260" max="260" width="12.140625" customWidth="1"/>
    <col min="263" max="264" width="9.28515625" customWidth="1"/>
    <col min="513" max="514" width="9.28515625" customWidth="1"/>
    <col min="515" max="515" width="10.7109375" customWidth="1"/>
    <col min="516" max="516" width="12.140625" customWidth="1"/>
    <col min="519" max="520" width="9.28515625" customWidth="1"/>
    <col min="769" max="770" width="9.28515625" customWidth="1"/>
    <col min="771" max="771" width="10.7109375" customWidth="1"/>
    <col min="772" max="772" width="12.140625" customWidth="1"/>
    <col min="775" max="776" width="9.28515625" customWidth="1"/>
    <col min="1025" max="1026" width="9.28515625" customWidth="1"/>
    <col min="1027" max="1027" width="10.7109375" customWidth="1"/>
    <col min="1028" max="1028" width="12.140625" customWidth="1"/>
    <col min="1031" max="1032" width="9.28515625" customWidth="1"/>
    <col min="1281" max="1282" width="9.28515625" customWidth="1"/>
    <col min="1283" max="1283" width="10.7109375" customWidth="1"/>
    <col min="1284" max="1284" width="12.140625" customWidth="1"/>
    <col min="1287" max="1288" width="9.28515625" customWidth="1"/>
    <col min="1537" max="1538" width="9.28515625" customWidth="1"/>
    <col min="1539" max="1539" width="10.7109375" customWidth="1"/>
    <col min="1540" max="1540" width="12.140625" customWidth="1"/>
    <col min="1543" max="1544" width="9.28515625" customWidth="1"/>
    <col min="1793" max="1794" width="9.28515625" customWidth="1"/>
    <col min="1795" max="1795" width="10.7109375" customWidth="1"/>
    <col min="1796" max="1796" width="12.140625" customWidth="1"/>
    <col min="1799" max="1800" width="9.28515625" customWidth="1"/>
    <col min="2049" max="2050" width="9.28515625" customWidth="1"/>
    <col min="2051" max="2051" width="10.7109375" customWidth="1"/>
    <col min="2052" max="2052" width="12.140625" customWidth="1"/>
    <col min="2055" max="2056" width="9.28515625" customWidth="1"/>
    <col min="2305" max="2306" width="9.28515625" customWidth="1"/>
    <col min="2307" max="2307" width="10.7109375" customWidth="1"/>
    <col min="2308" max="2308" width="12.140625" customWidth="1"/>
    <col min="2311" max="2312" width="9.28515625" customWidth="1"/>
    <col min="2561" max="2562" width="9.28515625" customWidth="1"/>
    <col min="2563" max="2563" width="10.7109375" customWidth="1"/>
    <col min="2564" max="2564" width="12.140625" customWidth="1"/>
    <col min="2567" max="2568" width="9.28515625" customWidth="1"/>
    <col min="2817" max="2818" width="9.28515625" customWidth="1"/>
    <col min="2819" max="2819" width="10.7109375" customWidth="1"/>
    <col min="2820" max="2820" width="12.140625" customWidth="1"/>
    <col min="2823" max="2824" width="9.28515625" customWidth="1"/>
    <col min="3073" max="3074" width="9.28515625" customWidth="1"/>
    <col min="3075" max="3075" width="10.7109375" customWidth="1"/>
    <col min="3076" max="3076" width="12.140625" customWidth="1"/>
    <col min="3079" max="3080" width="9.28515625" customWidth="1"/>
    <col min="3329" max="3330" width="9.28515625" customWidth="1"/>
    <col min="3331" max="3331" width="10.7109375" customWidth="1"/>
    <col min="3332" max="3332" width="12.140625" customWidth="1"/>
    <col min="3335" max="3336" width="9.28515625" customWidth="1"/>
    <col min="3585" max="3586" width="9.28515625" customWidth="1"/>
    <col min="3587" max="3587" width="10.7109375" customWidth="1"/>
    <col min="3588" max="3588" width="12.140625" customWidth="1"/>
    <col min="3591" max="3592" width="9.28515625" customWidth="1"/>
    <col min="3841" max="3842" width="9.28515625" customWidth="1"/>
    <col min="3843" max="3843" width="10.7109375" customWidth="1"/>
    <col min="3844" max="3844" width="12.140625" customWidth="1"/>
    <col min="3847" max="3848" width="9.28515625" customWidth="1"/>
    <col min="4097" max="4098" width="9.28515625" customWidth="1"/>
    <col min="4099" max="4099" width="10.7109375" customWidth="1"/>
    <col min="4100" max="4100" width="12.140625" customWidth="1"/>
    <col min="4103" max="4104" width="9.28515625" customWidth="1"/>
    <col min="4353" max="4354" width="9.28515625" customWidth="1"/>
    <col min="4355" max="4355" width="10.7109375" customWidth="1"/>
    <col min="4356" max="4356" width="12.140625" customWidth="1"/>
    <col min="4359" max="4360" width="9.28515625" customWidth="1"/>
    <col min="4609" max="4610" width="9.28515625" customWidth="1"/>
    <col min="4611" max="4611" width="10.7109375" customWidth="1"/>
    <col min="4612" max="4612" width="12.140625" customWidth="1"/>
    <col min="4615" max="4616" width="9.28515625" customWidth="1"/>
    <col min="4865" max="4866" width="9.28515625" customWidth="1"/>
    <col min="4867" max="4867" width="10.7109375" customWidth="1"/>
    <col min="4868" max="4868" width="12.140625" customWidth="1"/>
    <col min="4871" max="4872" width="9.28515625" customWidth="1"/>
    <col min="5121" max="5122" width="9.28515625" customWidth="1"/>
    <col min="5123" max="5123" width="10.7109375" customWidth="1"/>
    <col min="5124" max="5124" width="12.140625" customWidth="1"/>
    <col min="5127" max="5128" width="9.28515625" customWidth="1"/>
    <col min="5377" max="5378" width="9.28515625" customWidth="1"/>
    <col min="5379" max="5379" width="10.7109375" customWidth="1"/>
    <col min="5380" max="5380" width="12.140625" customWidth="1"/>
    <col min="5383" max="5384" width="9.28515625" customWidth="1"/>
    <col min="5633" max="5634" width="9.28515625" customWidth="1"/>
    <col min="5635" max="5635" width="10.7109375" customWidth="1"/>
    <col min="5636" max="5636" width="12.140625" customWidth="1"/>
    <col min="5639" max="5640" width="9.28515625" customWidth="1"/>
    <col min="5889" max="5890" width="9.28515625" customWidth="1"/>
    <col min="5891" max="5891" width="10.7109375" customWidth="1"/>
    <col min="5892" max="5892" width="12.140625" customWidth="1"/>
    <col min="5895" max="5896" width="9.28515625" customWidth="1"/>
    <col min="6145" max="6146" width="9.28515625" customWidth="1"/>
    <col min="6147" max="6147" width="10.7109375" customWidth="1"/>
    <col min="6148" max="6148" width="12.140625" customWidth="1"/>
    <col min="6151" max="6152" width="9.28515625" customWidth="1"/>
    <col min="6401" max="6402" width="9.28515625" customWidth="1"/>
    <col min="6403" max="6403" width="10.7109375" customWidth="1"/>
    <col min="6404" max="6404" width="12.140625" customWidth="1"/>
    <col min="6407" max="6408" width="9.28515625" customWidth="1"/>
    <col min="6657" max="6658" width="9.28515625" customWidth="1"/>
    <col min="6659" max="6659" width="10.7109375" customWidth="1"/>
    <col min="6660" max="6660" width="12.140625" customWidth="1"/>
    <col min="6663" max="6664" width="9.28515625" customWidth="1"/>
    <col min="6913" max="6914" width="9.28515625" customWidth="1"/>
    <col min="6915" max="6915" width="10.7109375" customWidth="1"/>
    <col min="6916" max="6916" width="12.140625" customWidth="1"/>
    <col min="6919" max="6920" width="9.28515625" customWidth="1"/>
    <col min="7169" max="7170" width="9.28515625" customWidth="1"/>
    <col min="7171" max="7171" width="10.7109375" customWidth="1"/>
    <col min="7172" max="7172" width="12.140625" customWidth="1"/>
    <col min="7175" max="7176" width="9.28515625" customWidth="1"/>
    <col min="7425" max="7426" width="9.28515625" customWidth="1"/>
    <col min="7427" max="7427" width="10.7109375" customWidth="1"/>
    <col min="7428" max="7428" width="12.140625" customWidth="1"/>
    <col min="7431" max="7432" width="9.28515625" customWidth="1"/>
    <col min="7681" max="7682" width="9.28515625" customWidth="1"/>
    <col min="7683" max="7683" width="10.7109375" customWidth="1"/>
    <col min="7684" max="7684" width="12.140625" customWidth="1"/>
    <col min="7687" max="7688" width="9.28515625" customWidth="1"/>
    <col min="7937" max="7938" width="9.28515625" customWidth="1"/>
    <col min="7939" max="7939" width="10.7109375" customWidth="1"/>
    <col min="7940" max="7940" width="12.140625" customWidth="1"/>
    <col min="7943" max="7944" width="9.28515625" customWidth="1"/>
    <col min="8193" max="8194" width="9.28515625" customWidth="1"/>
    <col min="8195" max="8195" width="10.7109375" customWidth="1"/>
    <col min="8196" max="8196" width="12.140625" customWidth="1"/>
    <col min="8199" max="8200" width="9.28515625" customWidth="1"/>
    <col min="8449" max="8450" width="9.28515625" customWidth="1"/>
    <col min="8451" max="8451" width="10.7109375" customWidth="1"/>
    <col min="8452" max="8452" width="12.140625" customWidth="1"/>
    <col min="8455" max="8456" width="9.28515625" customWidth="1"/>
    <col min="8705" max="8706" width="9.28515625" customWidth="1"/>
    <col min="8707" max="8707" width="10.7109375" customWidth="1"/>
    <col min="8708" max="8708" width="12.140625" customWidth="1"/>
    <col min="8711" max="8712" width="9.28515625" customWidth="1"/>
    <col min="8961" max="8962" width="9.28515625" customWidth="1"/>
    <col min="8963" max="8963" width="10.7109375" customWidth="1"/>
    <col min="8964" max="8964" width="12.140625" customWidth="1"/>
    <col min="8967" max="8968" width="9.28515625" customWidth="1"/>
    <col min="9217" max="9218" width="9.28515625" customWidth="1"/>
    <col min="9219" max="9219" width="10.7109375" customWidth="1"/>
    <col min="9220" max="9220" width="12.140625" customWidth="1"/>
    <col min="9223" max="9224" width="9.28515625" customWidth="1"/>
    <col min="9473" max="9474" width="9.28515625" customWidth="1"/>
    <col min="9475" max="9475" width="10.7109375" customWidth="1"/>
    <col min="9476" max="9476" width="12.140625" customWidth="1"/>
    <col min="9479" max="9480" width="9.28515625" customWidth="1"/>
    <col min="9729" max="9730" width="9.28515625" customWidth="1"/>
    <col min="9731" max="9731" width="10.7109375" customWidth="1"/>
    <col min="9732" max="9732" width="12.140625" customWidth="1"/>
    <col min="9735" max="9736" width="9.28515625" customWidth="1"/>
    <col min="9985" max="9986" width="9.28515625" customWidth="1"/>
    <col min="9987" max="9987" width="10.7109375" customWidth="1"/>
    <col min="9988" max="9988" width="12.140625" customWidth="1"/>
    <col min="9991" max="9992" width="9.28515625" customWidth="1"/>
    <col min="10241" max="10242" width="9.28515625" customWidth="1"/>
    <col min="10243" max="10243" width="10.7109375" customWidth="1"/>
    <col min="10244" max="10244" width="12.140625" customWidth="1"/>
    <col min="10247" max="10248" width="9.28515625" customWidth="1"/>
    <col min="10497" max="10498" width="9.28515625" customWidth="1"/>
    <col min="10499" max="10499" width="10.7109375" customWidth="1"/>
    <col min="10500" max="10500" width="12.140625" customWidth="1"/>
    <col min="10503" max="10504" width="9.28515625" customWidth="1"/>
    <col min="10753" max="10754" width="9.28515625" customWidth="1"/>
    <col min="10755" max="10755" width="10.7109375" customWidth="1"/>
    <col min="10756" max="10756" width="12.140625" customWidth="1"/>
    <col min="10759" max="10760" width="9.28515625" customWidth="1"/>
    <col min="11009" max="11010" width="9.28515625" customWidth="1"/>
    <col min="11011" max="11011" width="10.7109375" customWidth="1"/>
    <col min="11012" max="11012" width="12.140625" customWidth="1"/>
    <col min="11015" max="11016" width="9.28515625" customWidth="1"/>
    <col min="11265" max="11266" width="9.28515625" customWidth="1"/>
    <col min="11267" max="11267" width="10.7109375" customWidth="1"/>
    <col min="11268" max="11268" width="12.140625" customWidth="1"/>
    <col min="11271" max="11272" width="9.28515625" customWidth="1"/>
    <col min="11521" max="11522" width="9.28515625" customWidth="1"/>
    <col min="11523" max="11523" width="10.7109375" customWidth="1"/>
    <col min="11524" max="11524" width="12.140625" customWidth="1"/>
    <col min="11527" max="11528" width="9.28515625" customWidth="1"/>
    <col min="11777" max="11778" width="9.28515625" customWidth="1"/>
    <col min="11779" max="11779" width="10.7109375" customWidth="1"/>
    <col min="11780" max="11780" width="12.140625" customWidth="1"/>
    <col min="11783" max="11784" width="9.28515625" customWidth="1"/>
    <col min="12033" max="12034" width="9.28515625" customWidth="1"/>
    <col min="12035" max="12035" width="10.7109375" customWidth="1"/>
    <col min="12036" max="12036" width="12.140625" customWidth="1"/>
    <col min="12039" max="12040" width="9.28515625" customWidth="1"/>
    <col min="12289" max="12290" width="9.28515625" customWidth="1"/>
    <col min="12291" max="12291" width="10.7109375" customWidth="1"/>
    <col min="12292" max="12292" width="12.140625" customWidth="1"/>
    <col min="12295" max="12296" width="9.28515625" customWidth="1"/>
    <col min="12545" max="12546" width="9.28515625" customWidth="1"/>
    <col min="12547" max="12547" width="10.7109375" customWidth="1"/>
    <col min="12548" max="12548" width="12.140625" customWidth="1"/>
    <col min="12551" max="12552" width="9.28515625" customWidth="1"/>
    <col min="12801" max="12802" width="9.28515625" customWidth="1"/>
    <col min="12803" max="12803" width="10.7109375" customWidth="1"/>
    <col min="12804" max="12804" width="12.140625" customWidth="1"/>
    <col min="12807" max="12808" width="9.28515625" customWidth="1"/>
    <col min="13057" max="13058" width="9.28515625" customWidth="1"/>
    <col min="13059" max="13059" width="10.7109375" customWidth="1"/>
    <col min="13060" max="13060" width="12.140625" customWidth="1"/>
    <col min="13063" max="13064" width="9.28515625" customWidth="1"/>
    <col min="13313" max="13314" width="9.28515625" customWidth="1"/>
    <col min="13315" max="13315" width="10.7109375" customWidth="1"/>
    <col min="13316" max="13316" width="12.140625" customWidth="1"/>
    <col min="13319" max="13320" width="9.28515625" customWidth="1"/>
    <col min="13569" max="13570" width="9.28515625" customWidth="1"/>
    <col min="13571" max="13571" width="10.7109375" customWidth="1"/>
    <col min="13572" max="13572" width="12.140625" customWidth="1"/>
    <col min="13575" max="13576" width="9.28515625" customWidth="1"/>
    <col min="13825" max="13826" width="9.28515625" customWidth="1"/>
    <col min="13827" max="13827" width="10.7109375" customWidth="1"/>
    <col min="13828" max="13828" width="12.140625" customWidth="1"/>
    <col min="13831" max="13832" width="9.28515625" customWidth="1"/>
    <col min="14081" max="14082" width="9.28515625" customWidth="1"/>
    <col min="14083" max="14083" width="10.7109375" customWidth="1"/>
    <col min="14084" max="14084" width="12.140625" customWidth="1"/>
    <col min="14087" max="14088" width="9.28515625" customWidth="1"/>
    <col min="14337" max="14338" width="9.28515625" customWidth="1"/>
    <col min="14339" max="14339" width="10.7109375" customWidth="1"/>
    <col min="14340" max="14340" width="12.140625" customWidth="1"/>
    <col min="14343" max="14344" width="9.28515625" customWidth="1"/>
    <col min="14593" max="14594" width="9.28515625" customWidth="1"/>
    <col min="14595" max="14595" width="10.7109375" customWidth="1"/>
    <col min="14596" max="14596" width="12.140625" customWidth="1"/>
    <col min="14599" max="14600" width="9.28515625" customWidth="1"/>
    <col min="14849" max="14850" width="9.28515625" customWidth="1"/>
    <col min="14851" max="14851" width="10.7109375" customWidth="1"/>
    <col min="14852" max="14852" width="12.140625" customWidth="1"/>
    <col min="14855" max="14856" width="9.28515625" customWidth="1"/>
    <col min="15105" max="15106" width="9.28515625" customWidth="1"/>
    <col min="15107" max="15107" width="10.7109375" customWidth="1"/>
    <col min="15108" max="15108" width="12.140625" customWidth="1"/>
    <col min="15111" max="15112" width="9.28515625" customWidth="1"/>
    <col min="15361" max="15362" width="9.28515625" customWidth="1"/>
    <col min="15363" max="15363" width="10.7109375" customWidth="1"/>
    <col min="15364" max="15364" width="12.140625" customWidth="1"/>
    <col min="15367" max="15368" width="9.28515625" customWidth="1"/>
    <col min="15617" max="15618" width="9.28515625" customWidth="1"/>
    <col min="15619" max="15619" width="10.7109375" customWidth="1"/>
    <col min="15620" max="15620" width="12.140625" customWidth="1"/>
    <col min="15623" max="15624" width="9.28515625" customWidth="1"/>
    <col min="15873" max="15874" width="9.28515625" customWidth="1"/>
    <col min="15875" max="15875" width="10.7109375" customWidth="1"/>
    <col min="15876" max="15876" width="12.140625" customWidth="1"/>
    <col min="15879" max="15880" width="9.28515625" customWidth="1"/>
    <col min="16129" max="16130" width="9.28515625" customWidth="1"/>
    <col min="16131" max="16131" width="10.7109375" customWidth="1"/>
    <col min="16132" max="16132" width="12.140625" customWidth="1"/>
    <col min="16135" max="16136" width="9.28515625" customWidth="1"/>
  </cols>
  <sheetData>
    <row r="1" spans="1:8" ht="18" x14ac:dyDescent="0.25">
      <c r="A1" s="428"/>
      <c r="B1" s="429"/>
      <c r="C1" s="434" t="s">
        <v>160</v>
      </c>
      <c r="D1" s="435"/>
      <c r="E1" s="435"/>
      <c r="F1" s="436"/>
      <c r="G1" s="428"/>
      <c r="H1" s="429"/>
    </row>
    <row r="2" spans="1:8" x14ac:dyDescent="0.25">
      <c r="A2" s="430"/>
      <c r="B2" s="431"/>
      <c r="C2" s="437" t="s">
        <v>85</v>
      </c>
      <c r="D2" s="438"/>
      <c r="E2" s="438"/>
      <c r="F2" s="439"/>
      <c r="G2" s="430"/>
      <c r="H2" s="431"/>
    </row>
    <row r="3" spans="1:8" x14ac:dyDescent="0.25">
      <c r="A3" s="430"/>
      <c r="B3" s="431"/>
      <c r="C3" s="51"/>
      <c r="D3" s="52"/>
      <c r="E3" s="52"/>
      <c r="F3" s="53"/>
      <c r="G3" s="430"/>
      <c r="H3" s="431"/>
    </row>
    <row r="4" spans="1:8" x14ac:dyDescent="0.25">
      <c r="A4" s="430"/>
      <c r="B4" s="431"/>
      <c r="C4" s="437" t="s">
        <v>161</v>
      </c>
      <c r="D4" s="438"/>
      <c r="E4" s="438"/>
      <c r="F4" s="439"/>
      <c r="G4" s="430"/>
      <c r="H4" s="431"/>
    </row>
    <row r="5" spans="1:8" x14ac:dyDescent="0.25">
      <c r="A5" s="430"/>
      <c r="B5" s="431"/>
      <c r="C5" s="437" t="s">
        <v>162</v>
      </c>
      <c r="D5" s="438"/>
      <c r="E5" s="438"/>
      <c r="F5" s="439"/>
      <c r="G5" s="430"/>
      <c r="H5" s="431"/>
    </row>
    <row r="6" spans="1:8" ht="15.75" thickBot="1" x14ac:dyDescent="0.3">
      <c r="A6" s="432"/>
      <c r="B6" s="433"/>
      <c r="C6" s="54"/>
      <c r="D6" s="55"/>
      <c r="E6" s="55"/>
      <c r="F6" s="56"/>
      <c r="G6" s="432"/>
      <c r="H6" s="433"/>
    </row>
    <row r="8" spans="1:8" ht="15.75" thickBot="1" x14ac:dyDescent="0.3">
      <c r="A8" s="404" t="s">
        <v>163</v>
      </c>
      <c r="B8" s="404"/>
      <c r="C8" s="404"/>
      <c r="D8" s="404"/>
      <c r="E8" s="404"/>
      <c r="F8" s="404"/>
      <c r="G8" s="404"/>
      <c r="H8" s="404"/>
    </row>
    <row r="9" spans="1:8" ht="15.75" thickBot="1" x14ac:dyDescent="0.3">
      <c r="A9" s="104"/>
      <c r="B9" s="104"/>
      <c r="C9" s="104"/>
      <c r="D9" s="104"/>
      <c r="E9" s="104"/>
      <c r="F9" s="104"/>
      <c r="G9" s="405" t="s">
        <v>259</v>
      </c>
      <c r="H9" s="406"/>
    </row>
    <row r="10" spans="1:8" ht="15.75" thickBot="1" x14ac:dyDescent="0.3"/>
    <row r="11" spans="1:8" ht="69" customHeight="1" x14ac:dyDescent="0.25">
      <c r="A11" s="407" t="s">
        <v>428</v>
      </c>
      <c r="B11" s="408"/>
      <c r="C11" s="408"/>
      <c r="D11" s="408"/>
      <c r="E11" s="408"/>
      <c r="F11" s="408"/>
      <c r="G11" s="408"/>
      <c r="H11" s="409"/>
    </row>
    <row r="12" spans="1:8" x14ac:dyDescent="0.25">
      <c r="A12" s="410"/>
      <c r="B12" s="411"/>
      <c r="C12" s="411"/>
      <c r="D12" s="411"/>
      <c r="E12" s="411"/>
      <c r="F12" s="411"/>
      <c r="G12" s="411"/>
      <c r="H12" s="412"/>
    </row>
    <row r="13" spans="1:8" ht="15.75" thickBot="1" x14ac:dyDescent="0.3">
      <c r="A13" s="413"/>
      <c r="B13" s="414"/>
      <c r="C13" s="414"/>
      <c r="D13" s="414"/>
      <c r="E13" s="414"/>
      <c r="F13" s="414"/>
      <c r="G13" s="414"/>
      <c r="H13" s="415"/>
    </row>
    <row r="14" spans="1:8" ht="15.75" thickBot="1" x14ac:dyDescent="0.3">
      <c r="A14" s="58"/>
    </row>
    <row r="15" spans="1:8" x14ac:dyDescent="0.25">
      <c r="A15" s="416" t="s">
        <v>373</v>
      </c>
      <c r="B15" s="418" t="s">
        <v>215</v>
      </c>
      <c r="C15" s="419"/>
      <c r="D15" s="419"/>
      <c r="E15" s="419"/>
      <c r="F15" s="420"/>
      <c r="G15" s="416" t="s">
        <v>166</v>
      </c>
      <c r="H15" s="426" t="s">
        <v>167</v>
      </c>
    </row>
    <row r="16" spans="1:8" ht="15.75" thickBot="1" x14ac:dyDescent="0.3">
      <c r="A16" s="417"/>
      <c r="B16" s="421"/>
      <c r="C16" s="422"/>
      <c r="D16" s="422"/>
      <c r="E16" s="422"/>
      <c r="F16" s="423"/>
      <c r="G16" s="417"/>
      <c r="H16" s="427"/>
    </row>
    <row r="17" spans="1:8" x14ac:dyDescent="0.25">
      <c r="A17" s="105" t="s">
        <v>168</v>
      </c>
      <c r="B17" s="46"/>
      <c r="C17" s="46"/>
      <c r="D17" s="46"/>
      <c r="E17" s="46"/>
      <c r="F17" s="46"/>
      <c r="G17" s="46"/>
      <c r="H17" s="46"/>
    </row>
    <row r="18" spans="1:8" x14ac:dyDescent="0.25">
      <c r="A18" s="384" t="s">
        <v>1</v>
      </c>
      <c r="B18" s="384"/>
      <c r="C18" s="384" t="s">
        <v>169</v>
      </c>
      <c r="D18" s="384"/>
      <c r="E18" s="384" t="s">
        <v>170</v>
      </c>
      <c r="F18" s="384"/>
      <c r="G18" s="384" t="s">
        <v>171</v>
      </c>
      <c r="H18" s="384"/>
    </row>
    <row r="19" spans="1:8" x14ac:dyDescent="0.25">
      <c r="A19" s="539" t="s">
        <v>173</v>
      </c>
      <c r="B19" s="540"/>
      <c r="C19" s="542"/>
      <c r="D19" s="542"/>
      <c r="E19" s="541">
        <v>0.1</v>
      </c>
      <c r="F19" s="542"/>
      <c r="G19" s="380">
        <f>+G41*E19</f>
        <v>129.5</v>
      </c>
      <c r="H19" s="380"/>
    </row>
    <row r="20" spans="1:8" x14ac:dyDescent="0.25">
      <c r="A20" s="539"/>
      <c r="B20" s="540"/>
      <c r="C20" s="542"/>
      <c r="D20" s="542"/>
      <c r="E20" s="542"/>
      <c r="F20" s="542"/>
      <c r="G20" s="380"/>
      <c r="H20" s="380"/>
    </row>
    <row r="21" spans="1:8" x14ac:dyDescent="0.25">
      <c r="A21" s="46"/>
      <c r="B21" s="46"/>
      <c r="C21" s="381" t="s">
        <v>174</v>
      </c>
      <c r="D21" s="381"/>
      <c r="E21" s="381"/>
      <c r="F21" s="381"/>
      <c r="G21" s="380">
        <f>+G19+G20</f>
        <v>129.5</v>
      </c>
      <c r="H21" s="380"/>
    </row>
    <row r="22" spans="1:8" x14ac:dyDescent="0.25">
      <c r="A22" s="46"/>
      <c r="B22" s="46"/>
      <c r="C22" s="111"/>
      <c r="D22" s="111"/>
      <c r="E22" s="111"/>
      <c r="F22" s="111"/>
      <c r="G22" s="112"/>
      <c r="H22" s="112"/>
    </row>
    <row r="23" spans="1:8" x14ac:dyDescent="0.25">
      <c r="A23" s="105" t="s">
        <v>175</v>
      </c>
      <c r="B23" s="46"/>
      <c r="C23" s="46"/>
      <c r="D23" s="46"/>
      <c r="E23" s="46"/>
      <c r="F23" s="46"/>
      <c r="G23" s="46"/>
      <c r="H23" s="46"/>
    </row>
    <row r="24" spans="1:8" x14ac:dyDescent="0.25">
      <c r="A24" s="384" t="s">
        <v>1</v>
      </c>
      <c r="B24" s="384"/>
      <c r="C24" s="64" t="s">
        <v>176</v>
      </c>
      <c r="D24" s="64" t="s">
        <v>177</v>
      </c>
      <c r="E24" s="384" t="s">
        <v>3</v>
      </c>
      <c r="F24" s="384"/>
      <c r="G24" s="384" t="s">
        <v>171</v>
      </c>
      <c r="H24" s="384"/>
    </row>
    <row r="25" spans="1:8" x14ac:dyDescent="0.25">
      <c r="A25" s="385" t="s">
        <v>216</v>
      </c>
      <c r="B25" s="401"/>
      <c r="C25" s="73" t="s">
        <v>167</v>
      </c>
      <c r="D25" s="67">
        <v>2200</v>
      </c>
      <c r="E25" s="389">
        <v>1.05</v>
      </c>
      <c r="F25" s="390"/>
      <c r="G25" s="391">
        <f>+D25*E25</f>
        <v>2310</v>
      </c>
      <c r="H25" s="392"/>
    </row>
    <row r="26" spans="1:8" x14ac:dyDescent="0.25">
      <c r="A26" s="385" t="s">
        <v>217</v>
      </c>
      <c r="B26" s="401"/>
      <c r="C26" s="73" t="s">
        <v>218</v>
      </c>
      <c r="D26" s="67">
        <v>2800</v>
      </c>
      <c r="E26" s="389">
        <v>1.2E-2</v>
      </c>
      <c r="F26" s="390"/>
      <c r="G26" s="391">
        <f>+D26*E26</f>
        <v>33.6</v>
      </c>
      <c r="H26" s="392"/>
    </row>
    <row r="27" spans="1:8" x14ac:dyDescent="0.25">
      <c r="A27" s="393" t="s">
        <v>178</v>
      </c>
      <c r="B27" s="394"/>
      <c r="C27" s="113" t="s">
        <v>52</v>
      </c>
      <c r="D27" s="114">
        <v>500</v>
      </c>
      <c r="E27" s="543">
        <v>4</v>
      </c>
      <c r="F27" s="544"/>
      <c r="G27" s="391">
        <f>+D27*E27</f>
        <v>2000</v>
      </c>
      <c r="H27" s="392"/>
    </row>
    <row r="28" spans="1:8" x14ac:dyDescent="0.25">
      <c r="A28" s="393" t="s">
        <v>219</v>
      </c>
      <c r="B28" s="394"/>
      <c r="C28" s="113" t="s">
        <v>93</v>
      </c>
      <c r="D28" s="114">
        <v>6000</v>
      </c>
      <c r="E28" s="543">
        <v>0.25</v>
      </c>
      <c r="F28" s="544"/>
      <c r="G28" s="391">
        <f>+D28*E28</f>
        <v>1500</v>
      </c>
      <c r="H28" s="392"/>
    </row>
    <row r="29" spans="1:8" x14ac:dyDescent="0.25">
      <c r="A29" s="70"/>
      <c r="B29" s="70"/>
      <c r="C29" s="381" t="s">
        <v>174</v>
      </c>
      <c r="D29" s="381"/>
      <c r="E29" s="381"/>
      <c r="F29" s="381"/>
      <c r="G29" s="380">
        <f>SUM(G25:H28)</f>
        <v>5843.6</v>
      </c>
      <c r="H29" s="380"/>
    </row>
    <row r="30" spans="1:8" x14ac:dyDescent="0.25">
      <c r="A30" s="46"/>
      <c r="B30" s="46"/>
      <c r="C30" s="46"/>
      <c r="D30" s="46"/>
      <c r="E30" s="46"/>
      <c r="F30" s="46"/>
      <c r="G30" s="46"/>
      <c r="H30" s="46"/>
    </row>
    <row r="31" spans="1:8" x14ac:dyDescent="0.25">
      <c r="A31" s="105" t="s">
        <v>181</v>
      </c>
      <c r="B31" s="46"/>
      <c r="C31" s="46"/>
      <c r="D31" s="46"/>
      <c r="E31" s="46"/>
      <c r="F31" s="46"/>
      <c r="G31" s="46"/>
      <c r="H31" s="46"/>
    </row>
    <row r="32" spans="1:8" x14ac:dyDescent="0.25">
      <c r="A32" s="384" t="s">
        <v>182</v>
      </c>
      <c r="B32" s="384"/>
      <c r="C32" s="64" t="s">
        <v>183</v>
      </c>
      <c r="D32" s="72" t="s">
        <v>184</v>
      </c>
      <c r="E32" s="384" t="s">
        <v>185</v>
      </c>
      <c r="F32" s="384"/>
      <c r="G32" s="384" t="s">
        <v>171</v>
      </c>
      <c r="H32" s="384"/>
    </row>
    <row r="33" spans="1:8" x14ac:dyDescent="0.25">
      <c r="A33" s="385" t="s">
        <v>216</v>
      </c>
      <c r="B33" s="401"/>
      <c r="C33" s="73">
        <v>1</v>
      </c>
      <c r="D33" s="73">
        <v>10</v>
      </c>
      <c r="E33" s="380">
        <v>150</v>
      </c>
      <c r="F33" s="380"/>
      <c r="G33" s="380">
        <f>+(E33*D33)*C33</f>
        <v>1500</v>
      </c>
      <c r="H33" s="380"/>
    </row>
    <row r="34" spans="1:8" x14ac:dyDescent="0.25">
      <c r="A34" s="385" t="s">
        <v>217</v>
      </c>
      <c r="B34" s="401"/>
      <c r="C34" s="73">
        <v>1</v>
      </c>
      <c r="D34" s="73">
        <v>10</v>
      </c>
      <c r="E34" s="380">
        <v>150</v>
      </c>
      <c r="F34" s="380"/>
      <c r="G34" s="380">
        <f>+(E34*D34)*C34</f>
        <v>1500</v>
      </c>
      <c r="H34" s="380"/>
    </row>
    <row r="35" spans="1:8" x14ac:dyDescent="0.25">
      <c r="A35" s="385" t="s">
        <v>219</v>
      </c>
      <c r="B35" s="401"/>
      <c r="C35" s="73">
        <v>1</v>
      </c>
      <c r="D35" s="73">
        <v>10</v>
      </c>
      <c r="E35" s="380">
        <v>1000</v>
      </c>
      <c r="F35" s="380"/>
      <c r="G35" s="380">
        <f>+(E35*D35)*C35</f>
        <v>10000</v>
      </c>
      <c r="H35" s="380"/>
    </row>
    <row r="36" spans="1:8" x14ac:dyDescent="0.25">
      <c r="A36" s="70"/>
      <c r="B36" s="70"/>
      <c r="C36" s="381" t="s">
        <v>174</v>
      </c>
      <c r="D36" s="381"/>
      <c r="E36" s="381"/>
      <c r="F36" s="381"/>
      <c r="G36" s="380">
        <f>SUM(G33:G35)</f>
        <v>13000</v>
      </c>
      <c r="H36" s="380"/>
    </row>
    <row r="37" spans="1:8" x14ac:dyDescent="0.25">
      <c r="A37" s="46"/>
      <c r="B37" s="46"/>
      <c r="C37" s="46"/>
      <c r="D37" s="46"/>
      <c r="E37" s="46"/>
      <c r="F37" s="46"/>
      <c r="G37" s="46"/>
      <c r="H37" s="46"/>
    </row>
    <row r="38" spans="1:8" x14ac:dyDescent="0.25">
      <c r="A38" s="105" t="s">
        <v>186</v>
      </c>
      <c r="B38" s="46"/>
      <c r="C38" s="46"/>
      <c r="D38" s="46"/>
      <c r="E38" s="46"/>
      <c r="F38" s="46"/>
      <c r="G38" s="46"/>
      <c r="H38" s="46"/>
    </row>
    <row r="39" spans="1:8" x14ac:dyDescent="0.25">
      <c r="A39" s="384" t="s">
        <v>187</v>
      </c>
      <c r="B39" s="384"/>
      <c r="C39" s="64" t="s">
        <v>188</v>
      </c>
      <c r="D39" s="72" t="s">
        <v>189</v>
      </c>
      <c r="E39" s="110" t="s">
        <v>190</v>
      </c>
      <c r="F39" s="74" t="s">
        <v>170</v>
      </c>
      <c r="G39" s="384" t="s">
        <v>171</v>
      </c>
      <c r="H39" s="384"/>
    </row>
    <row r="40" spans="1:8" x14ac:dyDescent="0.25">
      <c r="A40" s="379" t="s">
        <v>220</v>
      </c>
      <c r="B40" s="379"/>
      <c r="C40" s="67">
        <v>70000</v>
      </c>
      <c r="D40" s="115">
        <v>0.85</v>
      </c>
      <c r="E40" s="67">
        <f>+((C40*D40)+C40)</f>
        <v>129500</v>
      </c>
      <c r="F40" s="73">
        <v>100</v>
      </c>
      <c r="G40" s="380">
        <f>+E40/F40</f>
        <v>1295</v>
      </c>
      <c r="H40" s="380"/>
    </row>
    <row r="41" spans="1:8" x14ac:dyDescent="0.25">
      <c r="A41" s="70"/>
      <c r="B41" s="70"/>
      <c r="C41" s="381" t="s">
        <v>174</v>
      </c>
      <c r="D41" s="381"/>
      <c r="E41" s="381"/>
      <c r="F41" s="381"/>
      <c r="G41" s="380">
        <f>SUM(G40:G40)</f>
        <v>1295</v>
      </c>
      <c r="H41" s="380"/>
    </row>
    <row r="42" spans="1:8" x14ac:dyDescent="0.25">
      <c r="A42" s="46"/>
      <c r="B42" s="46"/>
      <c r="C42" s="46"/>
      <c r="D42" s="46"/>
      <c r="E42" s="46"/>
      <c r="F42" s="46"/>
      <c r="G42" s="46"/>
      <c r="H42" s="46"/>
    </row>
    <row r="43" spans="1:8" x14ac:dyDescent="0.25">
      <c r="A43" s="46"/>
      <c r="B43" s="46"/>
      <c r="C43" s="46"/>
      <c r="D43" s="46"/>
      <c r="E43" s="46"/>
      <c r="F43" s="46"/>
      <c r="G43" s="46"/>
      <c r="H43" s="46"/>
    </row>
    <row r="44" spans="1:8" x14ac:dyDescent="0.25">
      <c r="A44" s="537" t="s">
        <v>193</v>
      </c>
      <c r="B44" s="537"/>
      <c r="C44" s="537"/>
      <c r="D44" s="537"/>
      <c r="E44" s="537"/>
      <c r="F44" s="537"/>
      <c r="G44" s="538">
        <f>+ROUND(G21+G29+G36+G41,0)</f>
        <v>20268</v>
      </c>
      <c r="H44" s="538"/>
    </row>
    <row r="45" spans="1:8" x14ac:dyDescent="0.25">
      <c r="G45" s="309">
        <f>+G44</f>
        <v>20268</v>
      </c>
    </row>
  </sheetData>
  <mergeCells count="66">
    <mergeCell ref="A1:B6"/>
    <mergeCell ref="C1:F1"/>
    <mergeCell ref="G1:H6"/>
    <mergeCell ref="C2:F2"/>
    <mergeCell ref="C4:F4"/>
    <mergeCell ref="C5:F5"/>
    <mergeCell ref="A8:H8"/>
    <mergeCell ref="G9:H9"/>
    <mergeCell ref="A11:H13"/>
    <mergeCell ref="A15:A16"/>
    <mergeCell ref="B15:F16"/>
    <mergeCell ref="G15:G16"/>
    <mergeCell ref="H15:H16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C21:F21"/>
    <mergeCell ref="G21:H21"/>
    <mergeCell ref="A24:B24"/>
    <mergeCell ref="E24:F24"/>
    <mergeCell ref="G24:H24"/>
    <mergeCell ref="A25:B25"/>
    <mergeCell ref="E25:F25"/>
    <mergeCell ref="G25:H25"/>
    <mergeCell ref="A32:B32"/>
    <mergeCell ref="E32:F32"/>
    <mergeCell ref="G32:H32"/>
    <mergeCell ref="A26:B26"/>
    <mergeCell ref="E26:F26"/>
    <mergeCell ref="G26:H26"/>
    <mergeCell ref="A27:B27"/>
    <mergeCell ref="E27:F27"/>
    <mergeCell ref="G27:H27"/>
    <mergeCell ref="A28:B28"/>
    <mergeCell ref="E28:F28"/>
    <mergeCell ref="G28:H28"/>
    <mergeCell ref="C29:F29"/>
    <mergeCell ref="G29:H29"/>
    <mergeCell ref="A39:B39"/>
    <mergeCell ref="G39:H39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40:B40"/>
    <mergeCell ref="G40:H40"/>
    <mergeCell ref="C41:F41"/>
    <mergeCell ref="G41:H41"/>
    <mergeCell ref="A44:F44"/>
    <mergeCell ref="G44:H4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6"/>
  <sheetViews>
    <sheetView workbookViewId="0">
      <selection activeCell="G45" sqref="G45:H45"/>
    </sheetView>
  </sheetViews>
  <sheetFormatPr baseColWidth="10" defaultRowHeight="15" x14ac:dyDescent="0.25"/>
  <sheetData>
    <row r="1" spans="1:8" ht="15.75" thickBot="1" x14ac:dyDescent="0.3">
      <c r="A1" s="193"/>
      <c r="B1" s="193"/>
      <c r="C1" s="193"/>
      <c r="D1" s="193"/>
      <c r="E1" s="193"/>
      <c r="F1" s="193"/>
      <c r="G1" s="193"/>
      <c r="H1" s="193"/>
    </row>
    <row r="2" spans="1:8" ht="18" x14ac:dyDescent="0.25">
      <c r="A2" s="545"/>
      <c r="B2" s="546"/>
      <c r="C2" s="551" t="s">
        <v>160</v>
      </c>
      <c r="D2" s="552"/>
      <c r="E2" s="552"/>
      <c r="F2" s="553"/>
      <c r="G2" s="545"/>
      <c r="H2" s="546"/>
    </row>
    <row r="3" spans="1:8" x14ac:dyDescent="0.25">
      <c r="A3" s="547"/>
      <c r="B3" s="548"/>
      <c r="C3" s="554" t="s">
        <v>85</v>
      </c>
      <c r="D3" s="555"/>
      <c r="E3" s="555"/>
      <c r="F3" s="556"/>
      <c r="G3" s="547"/>
      <c r="H3" s="548"/>
    </row>
    <row r="4" spans="1:8" x14ac:dyDescent="0.25">
      <c r="A4" s="547"/>
      <c r="B4" s="548"/>
      <c r="C4" s="194"/>
      <c r="D4" s="195"/>
      <c r="E4" s="196">
        <f>+'[1]ACTA DE COMITE TECNICO'!V54</f>
        <v>50983</v>
      </c>
      <c r="F4" s="197"/>
      <c r="G4" s="547"/>
      <c r="H4" s="548"/>
    </row>
    <row r="5" spans="1:8" x14ac:dyDescent="0.25">
      <c r="A5" s="547"/>
      <c r="B5" s="548"/>
      <c r="C5" s="554" t="s">
        <v>161</v>
      </c>
      <c r="D5" s="555"/>
      <c r="E5" s="555"/>
      <c r="F5" s="556"/>
      <c r="G5" s="547"/>
      <c r="H5" s="548"/>
    </row>
    <row r="6" spans="1:8" x14ac:dyDescent="0.25">
      <c r="A6" s="547"/>
      <c r="B6" s="548"/>
      <c r="C6" s="554" t="s">
        <v>162</v>
      </c>
      <c r="D6" s="555"/>
      <c r="E6" s="555"/>
      <c r="F6" s="556"/>
      <c r="G6" s="547"/>
      <c r="H6" s="548"/>
    </row>
    <row r="7" spans="1:8" ht="15.75" thickBot="1" x14ac:dyDescent="0.3">
      <c r="A7" s="549"/>
      <c r="B7" s="550"/>
      <c r="C7" s="198"/>
      <c r="D7" s="199"/>
      <c r="E7" s="199"/>
      <c r="F7" s="200"/>
      <c r="G7" s="549"/>
      <c r="H7" s="550"/>
    </row>
    <row r="8" spans="1:8" x14ac:dyDescent="0.25">
      <c r="A8" s="193"/>
      <c r="B8" s="193"/>
      <c r="C8" s="193"/>
      <c r="D8" s="193"/>
      <c r="E8" s="193"/>
      <c r="F8" s="193"/>
      <c r="G8" s="193"/>
      <c r="H8" s="193"/>
    </row>
    <row r="9" spans="1:8" ht="15.75" thickBot="1" x14ac:dyDescent="0.3">
      <c r="A9" s="557" t="s">
        <v>163</v>
      </c>
      <c r="B9" s="557"/>
      <c r="C9" s="557"/>
      <c r="D9" s="557"/>
      <c r="E9" s="557"/>
      <c r="F9" s="557"/>
      <c r="G9" s="557"/>
      <c r="H9" s="557"/>
    </row>
    <row r="10" spans="1:8" ht="15.75" thickBot="1" x14ac:dyDescent="0.3">
      <c r="A10" s="201"/>
      <c r="B10" s="201"/>
      <c r="C10" s="201"/>
      <c r="D10" s="201"/>
      <c r="E10" s="202"/>
      <c r="F10" s="201"/>
      <c r="G10" s="497" t="s">
        <v>274</v>
      </c>
      <c r="H10" s="498"/>
    </row>
    <row r="11" spans="1:8" ht="15.75" thickBot="1" x14ac:dyDescent="0.3">
      <c r="A11" s="193"/>
      <c r="B11" s="193"/>
      <c r="C11" s="193"/>
      <c r="D11" s="193"/>
      <c r="E11" s="193"/>
      <c r="F11" s="193"/>
      <c r="G11" s="193"/>
      <c r="H11" s="193"/>
    </row>
    <row r="12" spans="1:8" ht="59.25" customHeight="1" x14ac:dyDescent="0.25">
      <c r="A12" s="407" t="s">
        <v>428</v>
      </c>
      <c r="B12" s="408"/>
      <c r="C12" s="408"/>
      <c r="D12" s="408"/>
      <c r="E12" s="408"/>
      <c r="F12" s="408"/>
      <c r="G12" s="408"/>
      <c r="H12" s="409"/>
    </row>
    <row r="13" spans="1:8" x14ac:dyDescent="0.25">
      <c r="A13" s="410"/>
      <c r="B13" s="411"/>
      <c r="C13" s="411"/>
      <c r="D13" s="411"/>
      <c r="E13" s="411"/>
      <c r="F13" s="411"/>
      <c r="G13" s="411"/>
      <c r="H13" s="412"/>
    </row>
    <row r="14" spans="1:8" ht="15.75" thickBot="1" x14ac:dyDescent="0.3">
      <c r="A14" s="413"/>
      <c r="B14" s="414"/>
      <c r="C14" s="414"/>
      <c r="D14" s="414"/>
      <c r="E14" s="414"/>
      <c r="F14" s="414"/>
      <c r="G14" s="414"/>
      <c r="H14" s="415"/>
    </row>
    <row r="15" spans="1:8" ht="15.75" thickBot="1" x14ac:dyDescent="0.3">
      <c r="A15" s="203"/>
      <c r="B15" s="193"/>
      <c r="C15" s="193"/>
      <c r="D15" s="193"/>
      <c r="E15" s="193"/>
      <c r="F15" s="193"/>
      <c r="G15" s="193"/>
      <c r="H15" s="193"/>
    </row>
    <row r="16" spans="1:8" x14ac:dyDescent="0.25">
      <c r="A16" s="558" t="s">
        <v>355</v>
      </c>
      <c r="B16" s="561" t="s">
        <v>284</v>
      </c>
      <c r="C16" s="562"/>
      <c r="D16" s="562"/>
      <c r="E16" s="562"/>
      <c r="F16" s="563"/>
      <c r="G16" s="558" t="s">
        <v>250</v>
      </c>
      <c r="H16" s="570" t="s">
        <v>93</v>
      </c>
    </row>
    <row r="17" spans="1:8" x14ac:dyDescent="0.25">
      <c r="A17" s="559"/>
      <c r="B17" s="564"/>
      <c r="C17" s="565"/>
      <c r="D17" s="565"/>
      <c r="E17" s="565"/>
      <c r="F17" s="566"/>
      <c r="G17" s="559"/>
      <c r="H17" s="571"/>
    </row>
    <row r="18" spans="1:8" ht="15.75" thickBot="1" x14ac:dyDescent="0.3">
      <c r="A18" s="560"/>
      <c r="B18" s="567"/>
      <c r="C18" s="568"/>
      <c r="D18" s="568"/>
      <c r="E18" s="568"/>
      <c r="F18" s="569"/>
      <c r="G18" s="560"/>
      <c r="H18" s="572"/>
    </row>
    <row r="19" spans="1:8" x14ac:dyDescent="0.25">
      <c r="A19" s="204" t="s">
        <v>168</v>
      </c>
      <c r="B19" s="205"/>
      <c r="C19" s="205"/>
      <c r="D19" s="205"/>
      <c r="E19" s="205"/>
      <c r="F19" s="205"/>
      <c r="G19" s="205"/>
      <c r="H19" s="205"/>
    </row>
    <row r="20" spans="1:8" x14ac:dyDescent="0.25">
      <c r="A20" s="573" t="s">
        <v>1</v>
      </c>
      <c r="B20" s="573"/>
      <c r="C20" s="573" t="s">
        <v>169</v>
      </c>
      <c r="D20" s="573"/>
      <c r="E20" s="573" t="s">
        <v>170</v>
      </c>
      <c r="F20" s="573"/>
      <c r="G20" s="573" t="s">
        <v>171</v>
      </c>
      <c r="H20" s="573"/>
    </row>
    <row r="21" spans="1:8" x14ac:dyDescent="0.25">
      <c r="A21" s="574" t="s">
        <v>285</v>
      </c>
      <c r="B21" s="575"/>
      <c r="C21" s="576">
        <v>90000</v>
      </c>
      <c r="D21" s="576"/>
      <c r="E21" s="577">
        <v>20</v>
      </c>
      <c r="F21" s="578"/>
      <c r="G21" s="528">
        <f>+C21/E21</f>
        <v>4500</v>
      </c>
      <c r="H21" s="528"/>
    </row>
    <row r="22" spans="1:8" x14ac:dyDescent="0.25">
      <c r="A22" s="579" t="s">
        <v>173</v>
      </c>
      <c r="B22" s="580"/>
      <c r="C22" s="581"/>
      <c r="D22" s="581"/>
      <c r="E22" s="582">
        <v>0.1</v>
      </c>
      <c r="F22" s="583"/>
      <c r="G22" s="528">
        <f>+E22*G42</f>
        <v>3242.6000000000004</v>
      </c>
      <c r="H22" s="528"/>
    </row>
    <row r="23" spans="1:8" x14ac:dyDescent="0.25">
      <c r="A23" s="205"/>
      <c r="B23" s="205"/>
      <c r="C23" s="573" t="s">
        <v>174</v>
      </c>
      <c r="D23" s="573"/>
      <c r="E23" s="573"/>
      <c r="F23" s="573"/>
      <c r="G23" s="584">
        <f>ROUND(SUM(G21:H22),0)</f>
        <v>7743</v>
      </c>
      <c r="H23" s="584"/>
    </row>
    <row r="24" spans="1:8" x14ac:dyDescent="0.25">
      <c r="A24" s="205"/>
      <c r="B24" s="205"/>
      <c r="C24" s="206"/>
      <c r="D24" s="206"/>
      <c r="E24" s="206"/>
      <c r="F24" s="206"/>
      <c r="G24" s="207"/>
      <c r="H24" s="207"/>
    </row>
    <row r="25" spans="1:8" x14ac:dyDescent="0.25">
      <c r="A25" s="208" t="s">
        <v>175</v>
      </c>
      <c r="B25" s="205"/>
      <c r="C25" s="205"/>
      <c r="D25" s="205"/>
      <c r="E25" s="205"/>
      <c r="F25" s="205"/>
      <c r="G25" s="205"/>
      <c r="H25" s="205"/>
    </row>
    <row r="26" spans="1:8" x14ac:dyDescent="0.25">
      <c r="A26" s="573" t="s">
        <v>1</v>
      </c>
      <c r="B26" s="573"/>
      <c r="C26" s="209" t="s">
        <v>176</v>
      </c>
      <c r="D26" s="209" t="s">
        <v>177</v>
      </c>
      <c r="E26" s="573" t="s">
        <v>3</v>
      </c>
      <c r="F26" s="573"/>
      <c r="G26" s="573" t="s">
        <v>171</v>
      </c>
      <c r="H26" s="573"/>
    </row>
    <row r="27" spans="1:8" x14ac:dyDescent="0.25">
      <c r="A27" s="585" t="s">
        <v>286</v>
      </c>
      <c r="B27" s="586"/>
      <c r="C27" s="210" t="s">
        <v>93</v>
      </c>
      <c r="D27" s="211">
        <v>75000</v>
      </c>
      <c r="E27" s="587">
        <v>1</v>
      </c>
      <c r="F27" s="588"/>
      <c r="G27" s="589">
        <f>+D27*E27</f>
        <v>75000</v>
      </c>
      <c r="H27" s="590"/>
    </row>
    <row r="28" spans="1:8" x14ac:dyDescent="0.25">
      <c r="A28" s="585" t="s">
        <v>287</v>
      </c>
      <c r="B28" s="586"/>
      <c r="C28" s="210" t="s">
        <v>167</v>
      </c>
      <c r="D28" s="211">
        <v>4800</v>
      </c>
      <c r="E28" s="587">
        <v>4</v>
      </c>
      <c r="F28" s="588"/>
      <c r="G28" s="589">
        <f>+D28*E28</f>
        <v>19200</v>
      </c>
      <c r="H28" s="590"/>
    </row>
    <row r="29" spans="1:8" x14ac:dyDescent="0.25">
      <c r="A29" s="574" t="s">
        <v>288</v>
      </c>
      <c r="B29" s="575"/>
      <c r="C29" s="212"/>
      <c r="D29" s="213">
        <v>0.05</v>
      </c>
      <c r="E29" s="591"/>
      <c r="F29" s="592"/>
      <c r="G29" s="589">
        <f>ROUND(SUM(G27:H28)*D29,0)</f>
        <v>4710</v>
      </c>
      <c r="H29" s="590"/>
    </row>
    <row r="30" spans="1:8" x14ac:dyDescent="0.25">
      <c r="A30" s="214"/>
      <c r="B30" s="214"/>
      <c r="C30" s="573" t="s">
        <v>174</v>
      </c>
      <c r="D30" s="573"/>
      <c r="E30" s="573"/>
      <c r="F30" s="573"/>
      <c r="G30" s="593">
        <f>SUM(G27:H29)</f>
        <v>98910</v>
      </c>
      <c r="H30" s="593"/>
    </row>
    <row r="31" spans="1:8" x14ac:dyDescent="0.25">
      <c r="A31" s="205"/>
      <c r="B31" s="205"/>
      <c r="C31" s="205"/>
      <c r="D31" s="205"/>
      <c r="E31" s="205"/>
      <c r="F31" s="205"/>
      <c r="G31" s="205"/>
      <c r="H31" s="205"/>
    </row>
    <row r="32" spans="1:8" x14ac:dyDescent="0.25">
      <c r="A32" s="208" t="s">
        <v>181</v>
      </c>
      <c r="B32" s="205"/>
      <c r="C32" s="205"/>
      <c r="D32" s="205"/>
      <c r="E32" s="205"/>
      <c r="F32" s="205"/>
      <c r="G32" s="205"/>
      <c r="H32" s="205"/>
    </row>
    <row r="33" spans="1:8" x14ac:dyDescent="0.25">
      <c r="A33" s="573" t="s">
        <v>182</v>
      </c>
      <c r="B33" s="573"/>
      <c r="C33" s="209" t="s">
        <v>183</v>
      </c>
      <c r="D33" s="215" t="s">
        <v>184</v>
      </c>
      <c r="E33" s="573" t="s">
        <v>185</v>
      </c>
      <c r="F33" s="573"/>
      <c r="G33" s="573" t="s">
        <v>171</v>
      </c>
      <c r="H33" s="573"/>
    </row>
    <row r="34" spans="1:8" x14ac:dyDescent="0.25">
      <c r="A34" s="585" t="str">
        <f>+A27</f>
        <v xml:space="preserve">Material drenante </v>
      </c>
      <c r="B34" s="586"/>
      <c r="C34" s="210">
        <v>1</v>
      </c>
      <c r="D34" s="210">
        <v>30</v>
      </c>
      <c r="E34" s="581">
        <v>1000</v>
      </c>
      <c r="F34" s="581"/>
      <c r="G34" s="593">
        <f>+C34*D34*E34</f>
        <v>30000</v>
      </c>
      <c r="H34" s="593"/>
    </row>
    <row r="35" spans="1:8" x14ac:dyDescent="0.25">
      <c r="A35" s="594"/>
      <c r="B35" s="594"/>
      <c r="C35" s="210"/>
      <c r="D35" s="210"/>
      <c r="E35" s="581"/>
      <c r="F35" s="581"/>
      <c r="G35" s="593"/>
      <c r="H35" s="593"/>
    </row>
    <row r="36" spans="1:8" x14ac:dyDescent="0.25">
      <c r="A36" s="214"/>
      <c r="B36" s="214"/>
      <c r="C36" s="573" t="s">
        <v>174</v>
      </c>
      <c r="D36" s="573"/>
      <c r="E36" s="573"/>
      <c r="F36" s="573"/>
      <c r="G36" s="593">
        <f>SUM(G34:G35)</f>
        <v>30000</v>
      </c>
      <c r="H36" s="593"/>
    </row>
    <row r="37" spans="1:8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208" t="s">
        <v>186</v>
      </c>
      <c r="B38" s="205"/>
      <c r="C38" s="205"/>
      <c r="D38" s="205"/>
      <c r="E38" s="205"/>
      <c r="F38" s="205"/>
      <c r="G38" s="205"/>
      <c r="H38" s="205"/>
    </row>
    <row r="39" spans="1:8" x14ac:dyDescent="0.25">
      <c r="A39" s="573" t="s">
        <v>187</v>
      </c>
      <c r="B39" s="573"/>
      <c r="C39" s="216" t="s">
        <v>188</v>
      </c>
      <c r="D39" s="215" t="s">
        <v>189</v>
      </c>
      <c r="E39" s="209" t="s">
        <v>190</v>
      </c>
      <c r="F39" s="215" t="s">
        <v>170</v>
      </c>
      <c r="G39" s="573" t="s">
        <v>171</v>
      </c>
      <c r="H39" s="573"/>
    </row>
    <row r="40" spans="1:8" x14ac:dyDescent="0.25">
      <c r="A40" s="579" t="s">
        <v>201</v>
      </c>
      <c r="B40" s="580"/>
      <c r="C40" s="217">
        <v>60000</v>
      </c>
      <c r="D40" s="218">
        <v>0.85</v>
      </c>
      <c r="E40" s="217">
        <f>+C40*(1+D40)</f>
        <v>111000</v>
      </c>
      <c r="F40" s="210">
        <v>5.42</v>
      </c>
      <c r="G40" s="593">
        <f>+E40/F40</f>
        <v>20479.704797047973</v>
      </c>
      <c r="H40" s="593"/>
    </row>
    <row r="41" spans="1:8" x14ac:dyDescent="0.25">
      <c r="A41" s="594" t="s">
        <v>364</v>
      </c>
      <c r="B41" s="594"/>
      <c r="C41" s="217">
        <v>35000</v>
      </c>
      <c r="D41" s="218">
        <v>0.85</v>
      </c>
      <c r="E41" s="217">
        <f>+C41*(1+D41)</f>
        <v>64750</v>
      </c>
      <c r="F41" s="210">
        <f>+F40</f>
        <v>5.42</v>
      </c>
      <c r="G41" s="593">
        <f>+E41/F41</f>
        <v>11946.49446494465</v>
      </c>
      <c r="H41" s="593"/>
    </row>
    <row r="42" spans="1:8" x14ac:dyDescent="0.25">
      <c r="A42" s="214"/>
      <c r="B42" s="214"/>
      <c r="C42" s="573" t="s">
        <v>174</v>
      </c>
      <c r="D42" s="573"/>
      <c r="E42" s="573"/>
      <c r="F42" s="573"/>
      <c r="G42" s="584">
        <f>ROUND(SUM(G40:H41),0)</f>
        <v>32426</v>
      </c>
      <c r="H42" s="584"/>
    </row>
    <row r="43" spans="1:8" x14ac:dyDescent="0.25">
      <c r="A43" s="205"/>
      <c r="B43" s="205"/>
      <c r="C43" s="205"/>
      <c r="D43" s="205"/>
      <c r="E43" s="205"/>
      <c r="F43" s="205"/>
      <c r="G43" s="219"/>
      <c r="H43" s="219"/>
    </row>
    <row r="44" spans="1:8" x14ac:dyDescent="0.25">
      <c r="A44" s="205"/>
      <c r="B44" s="205"/>
      <c r="C44" s="205"/>
      <c r="D44" s="205"/>
      <c r="E44" s="205"/>
      <c r="F44" s="205"/>
      <c r="G44" s="219"/>
      <c r="H44" s="219"/>
    </row>
    <row r="45" spans="1:8" x14ac:dyDescent="0.25">
      <c r="A45" s="595" t="s">
        <v>193</v>
      </c>
      <c r="B45" s="595"/>
      <c r="C45" s="595"/>
      <c r="D45" s="595"/>
      <c r="E45" s="595"/>
      <c r="F45" s="595"/>
      <c r="G45" s="596">
        <f>+ROUND(G23+G30+G36+G42,0)</f>
        <v>169079</v>
      </c>
      <c r="H45" s="596"/>
    </row>
    <row r="46" spans="1:8" x14ac:dyDescent="0.25">
      <c r="G46" s="309">
        <f>+G45</f>
        <v>169079</v>
      </c>
    </row>
  </sheetData>
  <mergeCells count="62">
    <mergeCell ref="A45:F45"/>
    <mergeCell ref="G45:H45"/>
    <mergeCell ref="A40:B40"/>
    <mergeCell ref="G40:H40"/>
    <mergeCell ref="A41:B41"/>
    <mergeCell ref="G41:H41"/>
    <mergeCell ref="C42:F42"/>
    <mergeCell ref="G42:H42"/>
    <mergeCell ref="A39:B39"/>
    <mergeCell ref="G39:H39"/>
    <mergeCell ref="C30:F30"/>
    <mergeCell ref="G30:H30"/>
    <mergeCell ref="A33:B33"/>
    <mergeCell ref="E33:F33"/>
    <mergeCell ref="G33:H33"/>
    <mergeCell ref="A34:B34"/>
    <mergeCell ref="E34:F34"/>
    <mergeCell ref="G34:H34"/>
    <mergeCell ref="A35:B35"/>
    <mergeCell ref="E35:F35"/>
    <mergeCell ref="G35:H35"/>
    <mergeCell ref="C36:F36"/>
    <mergeCell ref="G36:H36"/>
    <mergeCell ref="A28:B28"/>
    <mergeCell ref="E28:F28"/>
    <mergeCell ref="G28:H28"/>
    <mergeCell ref="A29:B29"/>
    <mergeCell ref="E29:F29"/>
    <mergeCell ref="G29:H29"/>
    <mergeCell ref="A26:B26"/>
    <mergeCell ref="E26:F26"/>
    <mergeCell ref="G26:H26"/>
    <mergeCell ref="A27:B27"/>
    <mergeCell ref="E27:F27"/>
    <mergeCell ref="G27:H27"/>
    <mergeCell ref="A22:B22"/>
    <mergeCell ref="C22:D22"/>
    <mergeCell ref="E22:F22"/>
    <mergeCell ref="G22:H22"/>
    <mergeCell ref="C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9:H9"/>
    <mergeCell ref="G10:H10"/>
    <mergeCell ref="A12:H14"/>
    <mergeCell ref="A16:A18"/>
    <mergeCell ref="B16:F18"/>
    <mergeCell ref="G16:G18"/>
    <mergeCell ref="H16:H18"/>
    <mergeCell ref="A2:B7"/>
    <mergeCell ref="C2:F2"/>
    <mergeCell ref="G2:H7"/>
    <mergeCell ref="C3:F3"/>
    <mergeCell ref="C5:F5"/>
    <mergeCell ref="C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1</vt:i4>
      </vt:variant>
    </vt:vector>
  </HeadingPairs>
  <TitlesOfParts>
    <vt:vector size="35" baseType="lpstr">
      <vt:lpstr>Mant. Dor - Chi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  <vt:lpstr>1.23</vt:lpstr>
      <vt:lpstr>1.24</vt:lpstr>
      <vt:lpstr>1.25</vt:lpstr>
      <vt:lpstr>1.26</vt:lpstr>
      <vt:lpstr>1.27;1.29</vt:lpstr>
      <vt:lpstr>1.28</vt:lpstr>
      <vt:lpstr>1.30</vt:lpstr>
      <vt:lpstr>1.31</vt:lpstr>
      <vt:lpstr>1.32</vt:lpstr>
      <vt:lpstr>1.33</vt:lpstr>
      <vt:lpstr>1.34</vt:lpstr>
      <vt:lpstr>'Mant. Dor - Chi'!Área_de_impresión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Estupiñan Jaramillo</dc:creator>
  <cp:lastModifiedBy>Roger Rodriguez Moreno</cp:lastModifiedBy>
  <cp:lastPrinted>2017-02-03T19:49:49Z</cp:lastPrinted>
  <dcterms:created xsi:type="dcterms:W3CDTF">2016-01-13T14:35:34Z</dcterms:created>
  <dcterms:modified xsi:type="dcterms:W3CDTF">2017-03-06T14:09:02Z</dcterms:modified>
</cp:coreProperties>
</file>