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60" windowWidth="19440" windowHeight="11760" tabRatio="901" firstSheet="3" activeTab="11"/>
  </bookViews>
  <sheets>
    <sheet name="Exp. General (1)" sheetId="1" r:id="rId1"/>
    <sheet name="Exp. General (2)" sheetId="3" r:id="rId2"/>
    <sheet name="Exp. General (3)" sheetId="4" r:id="rId3"/>
    <sheet name="Exp. General (4)" sheetId="5" r:id="rId4"/>
    <sheet name="Exp. General (5)" sheetId="6" r:id="rId5"/>
    <sheet name="Exp. General (6)" sheetId="7" r:id="rId6"/>
    <sheet name="Exp. General (7)" sheetId="26" r:id="rId7"/>
    <sheet name="Exp. General (8)" sheetId="27" r:id="rId8"/>
    <sheet name="Exp. General (9)" sheetId="10" r:id="rId9"/>
    <sheet name="Exp. General (10)" sheetId="11" r:id="rId10"/>
    <sheet name="Exp. General (11)" sheetId="12" r:id="rId11"/>
    <sheet name="Resumen Exp. Gen" sheetId="28" r:id="rId12"/>
    <sheet name="Exp. Especif (1)" sheetId="14" r:id="rId13"/>
    <sheet name="Exp. Especif (2)" sheetId="15" r:id="rId14"/>
    <sheet name="Exp. Especif (3)" sheetId="16" r:id="rId15"/>
    <sheet name="Exp. Especif (4)" sheetId="17" r:id="rId16"/>
    <sheet name="Exp. Especif (5)" sheetId="18" r:id="rId17"/>
    <sheet name="Exp. Especif (6)" sheetId="19" r:id="rId18"/>
    <sheet name="Exp. Especif (7)" sheetId="29" r:id="rId19"/>
    <sheet name="Exp. Especif (8)" sheetId="30" r:id="rId20"/>
    <sheet name="Exp. Especif (9)" sheetId="22" r:id="rId21"/>
    <sheet name="Exp. Especif (10)" sheetId="23" r:id="rId22"/>
    <sheet name="Exp. Especif (11)" sheetId="24" r:id="rId23"/>
    <sheet name="Resumen Exp. Especifica" sheetId="31" r:id="rId24"/>
  </sheets>
  <definedNames>
    <definedName name="_xlnm.Print_Area" localSheetId="0">'Exp. General (1)'!$A$2:$N$21</definedName>
    <definedName name="_xlnm.Print_Area" localSheetId="9">'Exp. General (10)'!$A$2:$N$21</definedName>
    <definedName name="_xlnm.Print_Area" localSheetId="10">'Exp. General (11)'!$A$2:$N$22</definedName>
    <definedName name="_xlnm.Print_Area" localSheetId="1">'Exp. General (2)'!$A$2:$N$20</definedName>
    <definedName name="_xlnm.Print_Area" localSheetId="2">'Exp. General (3)'!$A$2:$N$20</definedName>
    <definedName name="_xlnm.Print_Area" localSheetId="3">'Exp. General (4)'!$A$2:$N$23</definedName>
    <definedName name="_xlnm.Print_Area" localSheetId="4">'Exp. General (5)'!$A$2:$N$23</definedName>
    <definedName name="_xlnm.Print_Area" localSheetId="5">'Exp. General (6)'!$A$2:$N$21</definedName>
    <definedName name="_xlnm.Print_Area" localSheetId="6">'Exp. General (7)'!$A$2:$N$24</definedName>
    <definedName name="_xlnm.Print_Area" localSheetId="7">'Exp. General (8)'!$A$2:$N$23</definedName>
    <definedName name="_xlnm.Print_Area" localSheetId="8">'Exp. General (9)'!$A$2:$N$23</definedName>
  </definedNames>
  <calcPr calcId="145621"/>
</workbook>
</file>

<file path=xl/calcChain.xml><?xml version="1.0" encoding="utf-8"?>
<calcChain xmlns="http://schemas.openxmlformats.org/spreadsheetml/2006/main">
  <c r="E16" i="30" l="1"/>
  <c r="E17" i="29"/>
  <c r="E16" i="29"/>
  <c r="E15" i="29"/>
  <c r="K21" i="27"/>
  <c r="L20" i="27"/>
  <c r="L19" i="27"/>
  <c r="K19" i="27"/>
  <c r="K13" i="27"/>
  <c r="L13" i="27"/>
  <c r="K12" i="27"/>
  <c r="L12" i="27"/>
  <c r="L11" i="27"/>
  <c r="K22" i="26"/>
  <c r="L14" i="26"/>
  <c r="K14" i="26"/>
  <c r="L13" i="26"/>
  <c r="K13" i="26"/>
  <c r="L12" i="26"/>
  <c r="K12" i="26"/>
  <c r="L11" i="26"/>
  <c r="K11" i="26"/>
  <c r="K15" i="26"/>
  <c r="K24" i="26"/>
  <c r="L24" i="26"/>
  <c r="K14" i="27"/>
  <c r="K23" i="27"/>
  <c r="K12" i="7"/>
  <c r="L12" i="7"/>
  <c r="E16" i="18"/>
  <c r="E15" i="18"/>
  <c r="E15" i="15"/>
  <c r="K11" i="3"/>
  <c r="K12" i="3"/>
  <c r="K20" i="3"/>
  <c r="L20" i="3"/>
  <c r="L19" i="12"/>
  <c r="L18" i="12"/>
  <c r="J11" i="12"/>
  <c r="K11" i="12"/>
  <c r="J12" i="12"/>
  <c r="K12" i="12"/>
  <c r="L12" i="12"/>
  <c r="L13" i="10"/>
  <c r="L14" i="10"/>
  <c r="L12" i="10"/>
  <c r="L11" i="10"/>
  <c r="K15" i="10"/>
  <c r="K23" i="10"/>
  <c r="L23" i="10"/>
  <c r="L11" i="7"/>
  <c r="L12" i="6"/>
  <c r="L13" i="6"/>
  <c r="L14" i="6"/>
  <c r="L11" i="6"/>
  <c r="L20" i="5"/>
  <c r="J12" i="5"/>
  <c r="K12" i="5"/>
  <c r="L12" i="5"/>
  <c r="J11" i="5"/>
  <c r="K11" i="5"/>
  <c r="K20" i="12"/>
  <c r="K19" i="11"/>
  <c r="K13" i="11"/>
  <c r="K21" i="11"/>
  <c r="L21" i="11"/>
  <c r="K21" i="10"/>
  <c r="K19" i="7"/>
  <c r="K13" i="7"/>
  <c r="K21" i="7"/>
  <c r="L21" i="7"/>
  <c r="K21" i="6"/>
  <c r="K15" i="6"/>
  <c r="K23" i="6"/>
  <c r="L23" i="6"/>
  <c r="K21" i="5"/>
  <c r="K18" i="4"/>
  <c r="K12" i="4"/>
  <c r="K18" i="3"/>
  <c r="K19" i="1"/>
  <c r="K13" i="1"/>
  <c r="K21" i="1"/>
  <c r="L21" i="1"/>
  <c r="L12" i="1"/>
  <c r="L11" i="1"/>
  <c r="K20" i="4"/>
  <c r="L20" i="4"/>
  <c r="K15" i="5"/>
  <c r="K23" i="5"/>
  <c r="L23" i="5"/>
  <c r="L11" i="5"/>
  <c r="K13" i="12"/>
  <c r="K22" i="12"/>
  <c r="L22" i="12"/>
  <c r="L11" i="12"/>
  <c r="L11" i="3"/>
</calcChain>
</file>

<file path=xl/sharedStrings.xml><?xml version="1.0" encoding="utf-8"?>
<sst xmlns="http://schemas.openxmlformats.org/spreadsheetml/2006/main" count="1326" uniqueCount="228">
  <si>
    <t>EXPERIENCIA GENERAL (1)</t>
  </si>
  <si>
    <t>EXPERIENCIA ACREDITADA POR EL MIEMBRO LÍDER DEL PROPONENTE</t>
  </si>
  <si>
    <t>Objeto y/o Alcance del contrato</t>
  </si>
  <si>
    <t>Fecha de Inicio del Contrato</t>
  </si>
  <si>
    <t>Fecha de Terminación del Contrato</t>
  </si>
  <si>
    <t>% de participación del Líder en la estructura plural anterior</t>
  </si>
  <si>
    <t>País en el que se celebró el contrato</t>
  </si>
  <si>
    <t>Entidad Contratante</t>
  </si>
  <si>
    <t>Valor del Contrato
Moneda Local (Euros)</t>
  </si>
  <si>
    <t>Valor del Contrato
Dolares</t>
  </si>
  <si>
    <t>Valor del Contrato
Pesos</t>
  </si>
  <si>
    <t>Valor del contrato (SMMLV) (2)</t>
  </si>
  <si>
    <t>CUMPLE CON EL OBJETO SOLICITADO</t>
  </si>
  <si>
    <t>ESPAÑA</t>
  </si>
  <si>
    <t>Ministerio de Fomento</t>
  </si>
  <si>
    <t xml:space="preserve">CUMPLE </t>
  </si>
  <si>
    <t>Valor Total de Contratos Aportados por el Líder</t>
  </si>
  <si>
    <t>% de participación del miembro no Líder del proponente en la estructura plural anterior</t>
  </si>
  <si>
    <t>Colombia</t>
  </si>
  <si>
    <t>CUMPLE</t>
  </si>
  <si>
    <t>Valor Total de Contratos Aportados por Miembros No Líder</t>
  </si>
  <si>
    <t>PROCESO VJ-VGC-CM-003-2013</t>
  </si>
  <si>
    <t>CONTRATAR LA CONSULTORIA ESPECIALIZADA PARA LA ELABORACION DE LOS ESTUDIOS Y DISEÑOS DE UN RETORNO (DOS RAMALES) Y UN PUENTE PEATONAL EN LA VARIANTE TUNJA POR INTERSECCION DEL BARRIO PATRIOTAS</t>
  </si>
  <si>
    <t xml:space="preserve">Nombre del Proponente: </t>
  </si>
  <si>
    <t xml:space="preserve">Proponente Líder: </t>
  </si>
  <si>
    <t>CIC CONSULTORES S.A.S</t>
  </si>
  <si>
    <t>Valor Total de Contratos Aportados minimo 1,5 veces el presupuesto oficial</t>
  </si>
  <si>
    <t xml:space="preserve">Estudios y diseños del nuevo puente sobre el Río Cacare en a troncal del Magadalena Medio </t>
  </si>
  <si>
    <t>Estudios y diseños definitivos para la construccion de 21,5 Kilometros de la Vía Secundaria entre La Turupa y Quebrada Seca en el Departamento de Casanare</t>
  </si>
  <si>
    <t>COLOMBIA</t>
  </si>
  <si>
    <t>INVIAS</t>
  </si>
  <si>
    <t>CANACOL ENERGY COLOMBIA S.A.</t>
  </si>
  <si>
    <t>NA</t>
  </si>
  <si>
    <t>FORMATO No 6</t>
  </si>
  <si>
    <t>De acuerdo con el numeral 4.3.2.6. se cita: "La experiencia general y especifica deberá acreditarse en contratos que sumen el siguiente monto: Minimo una y media veces (1.5) del valor del presupuesto oficial establecido para el presente concurso</t>
  </si>
  <si>
    <t>NOTA: CON LA INFORMACION APORTADA EN LA PROPUESTA, LA ENTIDAD VERIFICÓ LA EXPERIENCIA GENERAL  Y SE ENCONTRÓ QUE EL PROPONENTE  CUMPLE</t>
  </si>
  <si>
    <t>MIEMBRO NO LIDER:</t>
  </si>
  <si>
    <t>CONSORCIO LKS –ODGF</t>
  </si>
  <si>
    <t>LKS COLOMBIA SAS</t>
  </si>
  <si>
    <t>MIEMBRO NO LIDER: OSCAR DANIEL GARZÓN FORERO</t>
  </si>
  <si>
    <t>Estudios y diseños FASE II de la variante Oeste de Arrastre - Mondragón Clave 1-V21/2004-AT-PT</t>
  </si>
  <si>
    <t>España</t>
  </si>
  <si>
    <t>Diseños Fase III (Diseños definitivos) para el desdoblamiento de la Ronda Este de Pamplona, Tramo Olloki-Tuneles de Ezcaba.</t>
  </si>
  <si>
    <t>Diputación Foral de Guiuzkoa</t>
  </si>
  <si>
    <t>Gobernación de Navarra</t>
  </si>
  <si>
    <t>No. CDT O176-08 Construcción de la segunda y tercera subetapa y obras complementarias de urbanismo de la Ciudadela Nuevo Usme - Predio La Esperanza, así como LA ELABORACIÓN DE LOS DISEÑOS DE LA AVENIDA CARACAS EN LA CIUDADELA NUEVO USME</t>
  </si>
  <si>
    <t>METROVIVIENDA ALCALDÍA MAYOR DE BOGOTÁ</t>
  </si>
  <si>
    <t>BATEMAN INGENIERIA S.A</t>
  </si>
  <si>
    <t>Elaboración de estudios y diseños definitivos de los corredores pretroncales del sistema integrado del transporte masivo, pasajeros de Santiago de Cali, del Grupo 2:  avenida 2N  calle 5 (avenida 2N avenida las americas- calle 5), avenida 2N/ calle 5 : carrera 1 carrera 15), avenida 2N / calle 5 (carrera 1 : calle 5 - calle 13), calle 13/ paso ancho (carrera 100-carrera 15), carrera 80 (calle 5- calle 25), carrera 80 / 83 (calle 5 - academia militar JM cordoba/calle 2C oeste y calle 16 (carrera 100- carrera 56)</t>
  </si>
  <si>
    <t>Metrocali</t>
  </si>
  <si>
    <t>Estudios y diseños requeridos para la construccion de la interseccion localizada en la salida norte de la ciudad de neiva, en el sitio donde se une la carrera 7W con la salida a la ciudad de bogota</t>
  </si>
  <si>
    <t>Alcaldia de Neiva</t>
  </si>
  <si>
    <t>Estudios y diseños avenida "Norte Quito Sur" (NQS) Tramo Calle 147 hasta fin del perimetro urbano</t>
  </si>
  <si>
    <t>IDU</t>
  </si>
  <si>
    <t>Elaboracion de los estudios y diseños definitivos de los coredores pretroncales del sistema integrado de transporte masivo de pasajeros de santiago de cali del grupo 4: carrera 46 /calle 48 (carrera 46:calle 36-calle 48), carrera 46/48(calle 48:carrera 46-carrera 29),avenidad ciudad de cali(carrera 28D(via navarro)carrera 1- calle 70), via al mar(se conserva par vial entre marginales del rio cali)(oeste-este desde portada al mar hasta calle 5) y (este -oeste desde calle 5 hasta portada al mar)</t>
  </si>
  <si>
    <t>JAM INGENIERIA Y MEDIO AMBIENTE EU</t>
  </si>
  <si>
    <t>META PETROLEUM LTDA</t>
  </si>
  <si>
    <t>ELABORACION DE LOS ESTUDIOS Y DISEÑOS PARA LA ESTABILIZACION DE CUATRO (4) SITIOS CRITICOS UBICADOS EN EL PR 23+400, PR 55+150, PR 56+500, PR62+400 Y ACTUALIZACION DE LOS ESTUDIOS Y DISEÑOS DEL PR77+200 DE LA CARRETERA HONDA-EL VINO, EN LA TRASVERSAL MEDELLIN- BOGOTA</t>
  </si>
  <si>
    <t>FONADE</t>
  </si>
  <si>
    <t>LEVANTAMIENTO TOPOGRÁFICO, ESTUDIO DE SUELOS, ENSAYOS DE LABORATORIO, ANÁLISIS GEOTÉCNICO, DISEÑO GEOMETRICO DE LOS PUENTES VEHICULARES CAÑO NUTRIA Y QUEBRADA RUBIALES Y DISEÑO DE LOCACIONES Y VIAS DE ACCESO.</t>
  </si>
  <si>
    <t>TECNOCONSULTA S.A.S</t>
  </si>
  <si>
    <t>Estudios y Diseños Definitivos para las obras de Construcción, Mejoramiento y Rehabilitación del Proyecto Concesión Vial Ruta Caribe</t>
  </si>
  <si>
    <t>AUTOPISTAS DEL SOL S.A.</t>
  </si>
  <si>
    <t>Estudios y Diseños para la Construcción y Mejoramiento de la concesión vial Duitama – Charala – San Gil (132 km).</t>
  </si>
  <si>
    <t>AUTOPISTA DUITAMA SAN GIL S.A.</t>
  </si>
  <si>
    <t>Estudios y Diseños definitivos para la Construcción de la Segunda Calzada de la Carretera Gambote – Variante Mamonal, la Variante Cartagena y la Carretera Palmar de Varela- Sabanagrande y los Estudios y Diseños para el Mejoramiento del tramo existente la Carretera Gambote – Variante Mamonal, y la Variante Cartagena</t>
  </si>
  <si>
    <t>AUTOPISTAS DEL SOL S.A</t>
  </si>
  <si>
    <t>ESTUDIOS Y DISEÑOS PARA EL  MEJORAMIENTO  DE LA CALZADA EXISTENTE ENTRE SABANALARGA Y BARRANQUILLA (42 KM) Y LOS ESTUDIOS Y DISEÑOS PARA LA CONSTRUCCIÓN DE LA SEGUNDA CALZADA ENTRE GALAPA Y BARRANQUILLA (15 KM), DE LA CONCESIÓN RUTA CARIBE.</t>
  </si>
  <si>
    <t>CONSORCIO TI</t>
  </si>
  <si>
    <t>TRN INGENIERIA Y PLANIFICACIÓN DE INFRAESTRUCTURA S.A</t>
  </si>
  <si>
    <t>MIEMBRO NO LIDER: INCOPLAN S.A</t>
  </si>
  <si>
    <t>Redacción del proyecto de construcción Autovía castilla A-62 Tramo: Fuentes de Oñoro - Frontera con Portugal (Conexión con IP-5), Provincia de Salamanca</t>
  </si>
  <si>
    <t>Redacción del proyecto de contrucción Autovía de Navarra (A-15). Tramo: Sauquillo del Campo - Almazán. Provincia de Soria</t>
  </si>
  <si>
    <t>Estudios de fase III para el proyecto de construcción de la vía La Espriella - río Mataje, de la carretera San Andrés de Tumaco (Colombia) - Esmeraldas (Ecuador).</t>
  </si>
  <si>
    <t>Estudios y diseños para el mejoramiento, construcción y pavimentación de los proyectos viales de los anillos, troncales y red vial secundaria del departamento de Cundinamarca (Sistema de Información Geográfica Vial-sigvial)</t>
  </si>
  <si>
    <t>GOBERNACION DE CUNDINAMARCA</t>
  </si>
  <si>
    <t>AGENCIA NACIONAL DE INFRAESTRUCTURA</t>
  </si>
  <si>
    <t xml:space="preserve"> </t>
  </si>
  <si>
    <t>RESUMEN EVALUACIÓN EXPERIENCIA GENERAL</t>
  </si>
  <si>
    <t>PROPUESTA NÚMERO</t>
  </si>
  <si>
    <t>PROPONENTE</t>
  </si>
  <si>
    <t>EXPERIENCIA GENERAL</t>
  </si>
  <si>
    <t>OBSERVACIONES GENERALES</t>
  </si>
  <si>
    <t>CRITERIO 1</t>
  </si>
  <si>
    <t>CRITERIO 2</t>
  </si>
  <si>
    <t>CRITERIO 3</t>
  </si>
  <si>
    <t>HÁBIL</t>
  </si>
  <si>
    <t>INPROTEKTO LIMITADA</t>
  </si>
  <si>
    <t>JPS INGENIERIA S.A</t>
  </si>
  <si>
    <t>PROJEKTA LIMITADA</t>
  </si>
  <si>
    <t>CONSORCIO LESA</t>
  </si>
  <si>
    <t>CONSULTORIA COLOMBIANA-CONCOL S.A.</t>
  </si>
  <si>
    <t>Criterio 1</t>
  </si>
  <si>
    <t>Experiencia probable no menor de 10 años</t>
  </si>
  <si>
    <t>Criterio 2</t>
  </si>
  <si>
    <t>Presentacion de por lo menos un contrato de Consultoria en Estudios y Diseños para la Construccion de Infraestructura vial por cada integrante.</t>
  </si>
  <si>
    <t>Criterio 3</t>
  </si>
  <si>
    <t xml:space="preserve">Criterio 4 </t>
  </si>
  <si>
    <t>Sumatoria de contratos superior a 1.5 veces el presupuesto oficial</t>
  </si>
  <si>
    <t>CRITERIO 4</t>
  </si>
  <si>
    <t>CONDICION</t>
  </si>
  <si>
    <t>NO CUMPLE</t>
  </si>
  <si>
    <t>NO HÁBIL</t>
  </si>
  <si>
    <t>EXPERIENCIA ESPECÍFICA (1)</t>
  </si>
  <si>
    <t>Miembro del proponente que aporta el contrato</t>
  </si>
  <si>
    <t xml:space="preserve">Valor del contrato </t>
  </si>
  <si>
    <t>PUNTAJE</t>
  </si>
  <si>
    <t>SI</t>
  </si>
  <si>
    <t>TOTAL PUNTAJE OBTENIDO:</t>
  </si>
  <si>
    <t>FORMATO No. 7</t>
  </si>
  <si>
    <t>C.I.C. Consultores de Ingeniería y Cimentaciones S.A.S.</t>
  </si>
  <si>
    <t>Estudios y diseños del nuevo puente sobre el Río Carare.</t>
  </si>
  <si>
    <t xml:space="preserve">Estudios de Rehabilitación y construcción en proyectos de concesión de las carreteras: Planetarica - Montería - Cereté la Ye - Sincelejo, Lorica - Coveñas - Tolú - Tolu Viejo. </t>
  </si>
  <si>
    <t>Estudios y Diseños definitivos para construcción de 21.5 Kilómetros de las vía Secundaria entre La Turupa Y Quebrada Seca en el Departamento de Casanare.</t>
  </si>
  <si>
    <t>CONDICION EXPERIENCIA ESPECIFICA :</t>
  </si>
  <si>
    <t>NUMERAL 5.1.1. AL MENOS UNO (1) DEBE INCLUIR LA CONSULTORIA EN ESTUDIOS Y DISEÑOS PARA CONSTRUCCION DE PUENTES PEATONALES Y/O VEHICULARES</t>
  </si>
  <si>
    <t>Nombre del Proponente:CIC CONSULTORES S.A.S</t>
  </si>
  <si>
    <t>Proponente Líder: CIC CONSULTORES S.A.S</t>
  </si>
  <si>
    <t>Diciembre 29 de 1994</t>
  </si>
  <si>
    <t>Abril 22 de 1995</t>
  </si>
  <si>
    <t>Octubre 30 de 1995</t>
  </si>
  <si>
    <t>Julio 07 de 1997</t>
  </si>
  <si>
    <t>Agosto 8 de 2011</t>
  </si>
  <si>
    <t>Noviembre 28 de 2011</t>
  </si>
  <si>
    <t>(1) NUMERAL 5.1.1. AL MENOS UNO (1) DEBE INCLUIR LA CONSULTORIA EN ESTUDIOS Y DISEÑOS PARA CONSTRUCCION DE PUENTES PEATONALES Y/O VEHICULARES</t>
  </si>
  <si>
    <t>PUENTES PEATONALES Y/O VEHICULARES (1)</t>
  </si>
  <si>
    <t>ACEPTACION EXPERIENCIA ESPECIFICA</t>
  </si>
  <si>
    <t>CUMPLE CON EL OBJETO SOLICITADO EXP. GENERAL</t>
  </si>
  <si>
    <t>Nombre del Proponente:CONSORCIO LKS –ODGF</t>
  </si>
  <si>
    <t>Proponente Líder: LKS COLOMBIA SAS</t>
  </si>
  <si>
    <t>LKS INGENIERÍA</t>
  </si>
  <si>
    <t>ESTUDIOS Y DISEÑOS FASE II DE LA VARIANTE OESTE DE ARRASATE-MONDRAGÓN. CLAVE 1-V21/2004-AT-PT.</t>
  </si>
  <si>
    <t>ODGF Oscar Daniel Garzón Forero</t>
  </si>
  <si>
    <t>No. CDTO176-08 Construcción de la segunda y tercera subetapa y obras complementarias de urbanismo de la Ciudadela Nuevo Usme - Predio La Esperanza, así como LA ELABORACIÓN DE LOS DISEÑOS DE LA AVENIDA CARACAS EN LA CIUDADELA NUEVO USME</t>
  </si>
  <si>
    <t>DIPUTACION FORAL DE GUIPUZKOA</t>
  </si>
  <si>
    <t>GOBIERNO DE NAVARRA</t>
  </si>
  <si>
    <t>METROVIVIENDA ALCALDIA MAYOR DE BOGOTA</t>
  </si>
  <si>
    <t>Nombre del Proponente:BATEMAN INGENIERIA S.A</t>
  </si>
  <si>
    <t>Proponente Líder: BATEMAN INGENIERIA S.A</t>
  </si>
  <si>
    <t>METROCALI S.A.</t>
  </si>
  <si>
    <t>ALCALDIA DE NEIVA</t>
  </si>
  <si>
    <t>Nombre del Proponente:JAM INGENIERIA Y MEDIO AMBIENTE EU</t>
  </si>
  <si>
    <t>Proponente Líder: JAM INGENIERIA Y MEDIO AMBIENTE EU</t>
  </si>
  <si>
    <t>ESTUDIOS Y DISEÑOS PARA LA CONSTRUCCIÓN DE DOS PUENTES VEHICULARES (PONTONES) SOBRE LA QUEBRADA LIMAS EN LA LOCALIDAD DE CIUDAD BOLIVAR EN BOGOTA D.C</t>
  </si>
  <si>
    <t>ESTUDIOS Y DISEÑOS PARA LA SOLULCION DE LOS SIGUIENTES SITIOS CRITICOS: SECTOR SAN JUAN BRUSELAS PR70+0100 AL PR71+0300 DE LA CARRETERA MOCOA-PITALITO CODIGO 4503; PUENTE VITERBO EN EL PR77+0100 DE LA CARRETERA SANTA CECILIA-ASIA CODIGO 5003; PROTECCION DE LA BANCA DE LA MARGEN IZQUIERDA EN EL PR138 AL PR139 DE LA CARRETERA ANSERMANUEVO-LA VIRGINIA CODIGO 2302; PROTECCION DE LA VIA EL BRAZUELO-EL DIQUE, MORALES- GAMARRA PUERTO BOLIVAR, MUNICIPIO DE MORALES (BOLIVAR) CODIGO 71627; ESTUDIOS Y DISEÑOS DE PONTON DE 10M EN EL PRE7+0850 DE LA CARRETERA HONDA-VILLETA CODGIO 5008, MODULO 1.</t>
  </si>
  <si>
    <t>NOTA: PROPONENTE NO FUE HABILITADO EN LA EXPERIENCIA GENERAL</t>
  </si>
  <si>
    <t>Nombre del Proponente: TECNOCONSULTA S.A.S</t>
  </si>
  <si>
    <t>Proponente Líder: TECNOCONSULTA S.A.S</t>
  </si>
  <si>
    <t>TECNOCONSULTAS S.A.S.</t>
  </si>
  <si>
    <t>Nombre del Proponente: CONSORCIO TI</t>
  </si>
  <si>
    <t>Proponente Líder: TRN INGENIERIA Y PLANIFICACIÓN DE INFRAESTRUCTURA S.A</t>
  </si>
  <si>
    <t xml:space="preserve">TRN INGENIERIA Y PLANIFICACION DE INFRAESTRUTURAS S.A. </t>
  </si>
  <si>
    <t>INCOPLAN S.A.</t>
  </si>
  <si>
    <t>Ministerio de Fomento, Dirección General de Carreteras</t>
  </si>
  <si>
    <t>RESUMEN EVALUACIÓN EXPERIENCIA ESPECIFICA</t>
  </si>
  <si>
    <t>EXPERIENCIA ESPECIFICA</t>
  </si>
  <si>
    <t>Puntaje:</t>
  </si>
  <si>
    <t>NUMERAL 5.1.1. EL CUMPLIMIENTO DE LA ACREDITACION DE LA EXPERIENCIA ESPECIFICA, DARA LUGAR A LA ASIGNACION DEL SIGUIENTE PUNTAJE: (3) CONTRATOS - 900 PUNTOS; (4) CONTRATOS -800 PUNTOS; (5) CONTRATOS - 700 PUNTOS</t>
  </si>
  <si>
    <t>Nombre del Proponente: INPROTEKTO LIMITADA</t>
  </si>
  <si>
    <t>Proponente Líder:  INPROTEKTO LIMITADA</t>
  </si>
  <si>
    <t>ESTUDIOS Y DISEÑOS PARA LA CONSTRUCCION DE LA CALLE 63 (Carrera 131 a vía al Tunel de Occidente) EN EL CORREGIMIENTO DE SAN CRISTOBAL, PARA LA CONSTRUCCION DE LA CARRERA 4 ESTE (Conexción Via tradicional - Vía Ditaires) Y PARA LA CONSTRUCCION DE LA CARRERA 7 ESTE (Entre la Urbanizacion Compartir y la Vía a El Vergel) EN EL CORREGIMIENTO DE SAN ANTONIO DE PRADO</t>
  </si>
  <si>
    <t>ALCALDIA DE MEDELLIN</t>
  </si>
  <si>
    <t>ESTUDIO Y DISEÑOS DE LA AVENIDA EL RINCON Y LA AVENIDA EL TABOR EN SANTA FE DE BOGOTA.</t>
  </si>
  <si>
    <t>ESTUDIOS Y DISEÑOS A PRECIO GLOBAL DE PAVIMENTOS LOCALES EN LA LOCALIDAD DE BOSA, PARA LAS SIGUIENTES VIAS: CARRERA 97B DE LA CALLE 47 SUR A CALLE 51 SUR; CALLE 51 SUR DE CARRERA 97B A CARRERA 106 Y CARRERA 106 DE CALLE 51 SUR A CALLE 52 SUR</t>
  </si>
  <si>
    <t>FACTIBILIDAD DE ESTUDIOS Y DISEÑOS Y DISEÑOS DEFINITIVOS DE LA INTERSECCION DE LA AVENIDA SANTA FE CON CALLE 48 SUR Y ALAMEDA EL PORVENIR EN BOGOTA, D. C.</t>
  </si>
  <si>
    <t>ESTUDIOS Y DISEÑOS A PRECIO GLOBAL FIJO PARA LA CONSTRUCCION Y CONSTRUCCION A PRECIOS UNITARIOS CON REAJUSTE DE VIAS EN RAFAEL URIBE, USME Y SANTA FE</t>
  </si>
  <si>
    <t>47290693.50</t>
  </si>
  <si>
    <t>El valor expuesto en el cuadro no se evidencia en la certificacion.</t>
  </si>
  <si>
    <t>No se considera valido este contrato por ser menor del 30%, en contradiccion al numeral 4.3.2.7, … ( )   El proponente No podra acreditar experiencia, si el porcentaje de participacion en la estructura plural anterior fue inferior al treinta por ciento(30%) del valor del contrato. ( ) ..</t>
  </si>
  <si>
    <t>Nombre del Proponente: JPS INGENIERIA S.A</t>
  </si>
  <si>
    <t>Proponente Líder: JPS INGENIERIA S.A</t>
  </si>
  <si>
    <t>ESTUDIOS Y DISEÑOS DEL NUEVO PUENTE  SOBRE EL RIO MAGDALENA ENTRE LOS MUNICIPIOS DE HONDA Y PUERTO BOGOTA. RUTA 50 TRAMO 07  Y DISEÑO A NIVEL DE FASE III DE LA VARIANTE. CARRETERA FRESNO – HONDA.</t>
  </si>
  <si>
    <t>Estudios y diseños del nuevo puente sobre el rio Magadalena  entre los municipios de  Honda y Puerto Bogota. Ruta 50 Tramo  07 y Diseño a nivel de fase III de la variante carretera Fresno - Honda.</t>
  </si>
  <si>
    <t>Estudios, Diseños y Construccion de vias en las localidades de Usaquen, Chapinero y Barrios Unidos.</t>
  </si>
  <si>
    <t>JPS INGENIERIA SOCIEDAD
 ANONIMA</t>
  </si>
  <si>
    <t>6,8%(100% Estudios y Diseños)</t>
  </si>
  <si>
    <t>8%(100% Estudios y Diseños)</t>
  </si>
  <si>
    <t>Estudios Fase III segunda etapa para la construccion de la variante San Francisco - Moca de la carretera Pasto - Mocoa</t>
  </si>
  <si>
    <t>Estudios Fase III, Cruce  d e la cordillera central  (paralela Ibague - La Linea)</t>
  </si>
  <si>
    <t>CONSULTORIA COLOMBIANA S.A.</t>
  </si>
  <si>
    <t>Estudios definitivos para la construccion de la carretera Cartagena - Turbo. Sector  Cartagena - Tolu</t>
  </si>
  <si>
    <t>BATEMAN INGENIERIA S.A.</t>
  </si>
  <si>
    <t>Estudios y diseños definitivos fase 3 requieridos para la construccion de la interseccion localizada en la salida norte de la ciudad de neiva, en el sitio donde se une la carrera 7W cn la salida a la ciudad de Bogota DC</t>
  </si>
  <si>
    <t>Estudios, Diseños y Construccion de accesos a barrios y pavimentos locales Grupo 4.</t>
  </si>
  <si>
    <t>Aclaracion de valor con respecto ala certificacion aportada</t>
  </si>
  <si>
    <t>PROJEKTA. INGENIEROS CONSULTORES</t>
  </si>
  <si>
    <t>ESTUDIO Y DISEÑO A NIVEL FASE III PARA EL REEMPLAZO DEL PUENTE EL COLEGIO DE LA CARRETERA CANDELARIA LABERINTO RUTA 2402</t>
  </si>
  <si>
    <t>INSTITUTO NACIONAL DE VIAS-INVIAS</t>
  </si>
  <si>
    <t xml:space="preserve"> ESTUDIOS Y DISEÑOS DE LA VIA COTA-SUBA DESDE EL LIMITE CON EL DISTRITO HASTA LA AVENIDA SAN JOSÉ EN BOGOTÁ D.C.</t>
  </si>
  <si>
    <t>INSTITUTO DE DESARROLLO URBANO - IDU</t>
  </si>
  <si>
    <t>INTERVENTORIA DE LOS ESTUDIOS Y DISEÑOS DEFINITIVOS PARA LA CONSTRUCCIÓN DE LA CARRETERA CARTAGENA - TURBO</t>
  </si>
  <si>
    <t>INTERVENTORIA TÉCNICA Y ADMINISTRATIVA DE LOS CONTRATOS DE ESTUDIOS Y DISEÑOS DE PAVIMENTOS LOCALES Y ACCESOS A BARRIOS EN LA LOCALIDAD DE CIUDAD BOLIVAR, GRUPO I Y II</t>
  </si>
  <si>
    <t>LEMOINE RIVERA INGENIEROS ASOCIADOS LTDA</t>
  </si>
  <si>
    <t xml:space="preserve">ESTUDIOS Y DISEÑOS DEFINITIVOS DEL PUENTE EL PINDO Y SUS ACCESOS DE LA CARRETERA PASTO-TUMACO </t>
  </si>
  <si>
    <t>INSTITUTO NACIONAL DE VIAS INVIAS</t>
  </si>
  <si>
    <t>ESTUDIOS REQUERIDOS PARA LA CONSTRUCCIÓN Y PAVIMENTACIÓN DEL SECTOR QUIBDO - YUTO DE LA CARRETERA ISTMINA - CONDOTO - SAN LORENZO</t>
  </si>
  <si>
    <t>INTERVENCIONES INTEGRALES A LA MALLA VIAL LOCAL DEL GRUPO VIAL FASE II, GRUPO 1 (LOCALIDADES DE SANTAFE, ANTONIO NARIÑO, CANDELARIA, CHAPINERO, TEUSAQUILLO Y MARTIRES) EN LA CIUDAD DE BOGOTÁ</t>
  </si>
  <si>
    <t>INSTITUTO DE DESARROLLO URBANO IDU</t>
  </si>
  <si>
    <t>NO CUMPLE CON 60% DEL VALOR SOLICITADO EN EL NUMERAL 4.3.2.6. MÍNIMO UNA Y MEDIA VECES (1.5) DEL VALOR DEL PRESUPUESTO OFICIAL ESTABLECIDO PARA EL PRESENTE CONTRATO, POR CUANTO ACREDITAN MÁXIMO DOS CONTRATOS</t>
  </si>
  <si>
    <t>NOTA: CON LA INFORMACION APORTADA EN LA PROPUESTA, LA ENTIDAD VERIFICÓ LA EXPERIENCIA GENERAL  Y SE ENCONTRÓ QUE EL PROPONENTE  NO CUMPLE</t>
  </si>
  <si>
    <t>OBSERVACIONES</t>
  </si>
  <si>
    <t>ESTUDIOS Y DISEÑOS DE LOS PUENTES NUEVOS Y EXISTENTES, Y DE LOS PUENTES PEATONALES DEL PROYECTO DE CONCESIÓN VIAL BRICEÑO - TUNJA-SOGAMOSO</t>
  </si>
  <si>
    <t>CONSORCIO SOLARTE SOLARTE</t>
  </si>
  <si>
    <t xml:space="preserve">Analizadas las conversiones del valor del contrato a SMMLV se observa en el formato N°6 que no se tiene en cuenta el valor del SMMLV de la fecha de terminación del contrato. </t>
  </si>
  <si>
    <t>CONSULTORIA PARA LA INTERVENTORÍA INTEGRAL DE LA CONSTRUCCIÓN DE LA INTERSECCIÓN DE LA AVENIDA GUABINAL CON CRA.5 DEL MUNICIPIO DE IBAGUE</t>
  </si>
  <si>
    <t>ALCALDIA MUNICIPAL DE IBAGUE</t>
  </si>
  <si>
    <t>PROJEKTLTA. INGENIEROS CONSULTORES</t>
  </si>
  <si>
    <t>ESTUDIOS Y DISEÑOS DEFINITIVOS DEL PUENTE EL PINDO Y SUS ACCESOS DE LA CARRETERA PASTO TUMACO</t>
  </si>
  <si>
    <t>INSTITUTO NACIONAL DE VIAS - INVIAS</t>
  </si>
  <si>
    <t>S Y A SANTANDER Y ASOCIADOS LTDA</t>
  </si>
  <si>
    <t>ESTUDIOS Y DISEÑOS DE LOS PUENTES NUEVOS Y EXISTENTES, Y DE LOS PUENTES PEATONALES DEL PROYECTO DE CONCESIÓN VIAL BRICEÑO-TUNJA-SOGAMOSO</t>
  </si>
  <si>
    <t>NOTA: CON LA INFORMACION APORTADA EN LA PROPUESTA, LA ENTIDAD VERIFICÓ LA EXPERIENCIA GENERAL  Y SE ENCONTRÓ QUE EL PROPONENTE NO CUMPLE</t>
  </si>
  <si>
    <t xml:space="preserve">MIEMBRO NO LIDER: </t>
  </si>
  <si>
    <t>minimo 60%  del 1.5 del valor del presupuesto oficial debe ser aportado por el Lider (Estructura Plural)</t>
  </si>
  <si>
    <t>Nombre del Proponente: CONSULTORIA COLOMBIANA-CONCOL S.A.</t>
  </si>
  <si>
    <t>Proponente Líder: CONSULTORIA COLOMBIANA-CONCOL S.A.</t>
  </si>
  <si>
    <t>_______</t>
  </si>
  <si>
    <t>_____</t>
  </si>
  <si>
    <t>--------</t>
  </si>
  <si>
    <t xml:space="preserve">EL PROPONENTE NO CUMPLE CON EL REQUISITO DE EXPÉRIENCIA ESPECÍFICA NUMERAL 4.3..2.6 DEL PLIEGO DE CONDICIONES </t>
  </si>
  <si>
    <t>EL PROPONENTE NO CUMPLE CON EL NUMERAL 4.3.2.6 EXPERIENCIA GENERAL</t>
  </si>
  <si>
    <t xml:space="preserve">EL PROPONENTE NO CUMPLE CON EL NUMERAL 4.3.2.6 EXPERIENCIA GENERAL DEL PLIEGO DE CONDICIONES </t>
  </si>
  <si>
    <t>EL PROPONENTE NO CUMPLE CON EL 60% DEL VALOR SOLICITADO EN EL NUMERAL 4.3.2.6 DEBERÁ SER APORTADA POR EL LÍDER EN MÁXIMO DOS (2) CONTRATOS.</t>
  </si>
  <si>
    <t xml:space="preserve">NO CUMPLE </t>
  </si>
  <si>
    <t>Aclaracion de valor con respecto a la certificacion aportada</t>
  </si>
  <si>
    <t>EL PROPONENTE NO CUMPLE CON 60% DEL VALOR SOLICITADO EN EL NUMERAL 4.3.2.6. DEBERÁ SER APORTDA POR EL LIDER EN MÁXIMO DOS (2) CONTRATOS</t>
  </si>
  <si>
    <t>En relación con el numeral 4.3.2.7. establece que (ii) El proponente NO podrá acreditar experiencia, si el porcentaje de participación en la estructura plural anterior fue inferior al treinta por cienta (30%) del valor total del contrato. Por lo cual no se tiene en cuenta este contrato, adicionalmente y en referencia a la nota del contrato del orden N°3, nos permitimos resaltar que dicha observación ya habia sido objeto de revisión y respuesta en las observaciones de los pliegos definitivos. Por lo tanto no sera aceptado este contrato</t>
  </si>
  <si>
    <t xml:space="preserve">EL PROPONENTE NO CUMPLE CON EL NUMERAL 4.3.2.6 EXPERIENCIA GENERAL. DE LA DOCUMENTACIÓN APORTADA CON LA PROPUESTA TODA VEZ QUE NO SE ADVIERTE QUE EL MISMO TENGA LOS PORCENTAJES DE PARTICIPACIÓN QUE SEÑALA EN LOS FORMATOS DE EXPERIENCIA GENERAL Y ESPECÍFICA  </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</si>
</sst>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quot;$&quot;\ * #,##0.00_);_(&quot;$&quot;\ * \(#,##0.00\);_(&quot;$&quot;\ * &quot;-&quot;??_);_(@_)"/>
    <numFmt numFmtId="43" formatCode="_(* #,##0.00_);_(* \(#,##0.00\);_(* &quot;-&quot;??_);_(@_)"/>
    <numFmt numFmtId="164" formatCode="_-* #,##0.00\ _€_-;\-* #,##0.00\ _€_-;_-* &quot;-&quot;??\ _€_-;_-@_-"/>
    <numFmt numFmtId="165" formatCode="[$$-409]#,##0.00"/>
    <numFmt numFmtId="166" formatCode="_(&quot;$&quot;* #,##0.00_);_(&quot;$&quot;* \(#,##0.00\);_(&quot;$&quot;* &quot;-&quot;??_);_(@_)"/>
    <numFmt numFmtId="167" formatCode="_ * #,##0.00_ ;_ * \-#,##0.00_ ;_ * &quot;-&quot;??_ ;_ @_ "/>
    <numFmt numFmtId="168" formatCode="_ [$€-2]\ * #,##0.00_ ;_ [$€-2]\ * \-#,##0.00_ ;_ [$€-2]\ * &quot;-&quot;??_ "/>
    <numFmt numFmtId="169" formatCode="dd\-mmm\-yyyy"/>
    <numFmt numFmtId="170" formatCode="_(* #,##0.0_);_(* \(#,##0.0\);_(* &quot;-&quot;??_);_(@_)"/>
    <numFmt numFmtId="171" formatCode="_([$€-2]\ * #,##0.00_);_([$€-2]\ * \(#,##0.00\);_([$€-2]\ * &quot;-&quot;??_);_(@_)"/>
    <numFmt numFmtId="172" formatCode="_-[$$-240A]\ * #,##0.00_ ;_-[$$-240A]\ * \-#,##0.00\ ;_-[$$-240A]\ * &quot;-&quot;??_ ;_-@_ "/>
    <numFmt numFmtId="173" formatCode="_-[$€-2]\ * #,##0.00_-;\-[$€-2]\ * #,##0.00_-;_-[$€-2]\ * &quot;-&quot;??_-;_-@_-"/>
    <numFmt numFmtId="174" formatCode="_([$$-240A]\ * #,##0.00_);_([$$-240A]\ * \(#,##0.00\);_([$$-240A]\ * &quot;-&quot;??_);_(@_)"/>
    <numFmt numFmtId="175" formatCode="#,##0.00000"/>
    <numFmt numFmtId="176" formatCode="_(* #,##0_);_(* \(#,##0\);_(* &quot;-&quot;??_);_(@_)"/>
  </numFmts>
  <fonts count="32">
    <font>
      <sz val="10"/>
      <name val="Arial"/>
    </font>
    <font>
      <sz val="10"/>
      <name val="Arial"/>
      <family val="2"/>
    </font>
    <font>
      <b/>
      <sz val="14"/>
      <name val="Times New Roman"/>
      <family val="1"/>
    </font>
    <font>
      <b/>
      <sz val="12"/>
      <name val="Times New Roman"/>
      <family val="1"/>
    </font>
    <font>
      <sz val="11"/>
      <name val="Times New Roman"/>
      <family val="1"/>
    </font>
    <font>
      <b/>
      <sz val="11"/>
      <name val="Times New Roman"/>
      <family val="1"/>
    </font>
    <font>
      <b/>
      <sz val="10"/>
      <name val="Times New Roman"/>
      <family val="1"/>
    </font>
    <font>
      <sz val="10"/>
      <name val="Times New Roman"/>
      <family val="1"/>
    </font>
    <font>
      <b/>
      <sz val="10"/>
      <name val="Arial"/>
      <family val="2"/>
    </font>
    <font>
      <sz val="11"/>
      <color indexed="8"/>
      <name val="Calibri"/>
      <family val="2"/>
    </font>
    <font>
      <sz val="12"/>
      <color indexed="8"/>
      <name val="Calibri"/>
      <family val="2"/>
    </font>
    <font>
      <b/>
      <sz val="12"/>
      <name val="Arial"/>
      <family val="2"/>
    </font>
    <font>
      <sz val="8"/>
      <name val="Arial"/>
      <family val="2"/>
    </font>
    <font>
      <b/>
      <sz val="9"/>
      <name val="Arial"/>
      <family val="2"/>
    </font>
    <font>
      <sz val="10"/>
      <name val="Arial Narrow"/>
      <family val="2"/>
    </font>
    <font>
      <sz val="11"/>
      <name val="Arial"/>
      <family val="2"/>
    </font>
    <font>
      <sz val="9"/>
      <name val="Arial"/>
      <family val="2"/>
    </font>
    <font>
      <b/>
      <u/>
      <sz val="14"/>
      <name val="Times New Roman"/>
      <family val="1"/>
    </font>
    <font>
      <sz val="12"/>
      <name val="Arial Narrow"/>
      <family val="2"/>
    </font>
    <font>
      <sz val="11"/>
      <name val="Arial Narrow"/>
      <family val="2"/>
    </font>
    <font>
      <sz val="10"/>
      <name val="Ari"/>
    </font>
    <font>
      <sz val="11"/>
      <name val="Ari"/>
    </font>
    <font>
      <sz val="9"/>
      <name val="Ari"/>
    </font>
    <font>
      <sz val="11"/>
      <color theme="1"/>
      <name val="Calibri"/>
      <family val="2"/>
      <scheme val="minor"/>
    </font>
    <font>
      <sz val="12"/>
      <color theme="1"/>
      <name val="Calibri"/>
      <family val="2"/>
    </font>
    <font>
      <b/>
      <sz val="12"/>
      <color rgb="FF3F3F3F"/>
      <name val="Calibri"/>
      <family val="2"/>
    </font>
    <font>
      <sz val="10"/>
      <color theme="1"/>
      <name val="Arial"/>
      <family val="2"/>
    </font>
    <font>
      <sz val="11"/>
      <color theme="1"/>
      <name val="Arial"/>
      <family val="2"/>
    </font>
    <font>
      <sz val="11"/>
      <color theme="1"/>
      <name val="Ari"/>
    </font>
    <font>
      <b/>
      <sz val="11"/>
      <color theme="1"/>
      <name val="Times New Roman"/>
      <family val="1"/>
    </font>
    <font>
      <b/>
      <sz val="14"/>
      <color theme="1"/>
      <name val="Times New Roman"/>
      <family val="1"/>
    </font>
    <font>
      <sz val="11"/>
      <color rgb="FFFF0000"/>
      <name val="Arial"/>
      <family val="2"/>
    </font>
  </fonts>
  <fills count="13">
    <fill>
      <patternFill patternType="none"/>
    </fill>
    <fill>
      <patternFill patternType="gray125"/>
    </fill>
    <fill>
      <patternFill patternType="solid">
        <fgColor indexed="9"/>
        <bgColor indexed="64"/>
      </patternFill>
    </fill>
    <fill>
      <patternFill patternType="solid">
        <fgColor rgb="FFF2F2F2"/>
      </patternFill>
    </fill>
    <fill>
      <patternFill patternType="solid">
        <fgColor rgb="FFFFFFCC"/>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solid">
        <fgColor rgb="FFFF0000"/>
        <bgColor indexed="64"/>
      </patternFill>
    </fill>
    <fill>
      <patternFill patternType="solid">
        <fgColor rgb="FF00B0F0"/>
        <bgColor indexed="64"/>
      </patternFill>
    </fill>
    <fill>
      <patternFill patternType="solid">
        <fgColor rgb="FFFFFF00"/>
        <bgColor indexed="64"/>
      </patternFill>
    </fill>
    <fill>
      <patternFill patternType="solid">
        <fgColor theme="6" tint="0.59999389629810485"/>
        <bgColor indexed="64"/>
      </patternFill>
    </fill>
    <fill>
      <patternFill patternType="solid">
        <fgColor theme="2" tint="-9.9978637043366805E-2"/>
        <bgColor indexed="64"/>
      </patternFill>
    </fill>
  </fills>
  <borders count="3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3F3F3F"/>
      </left>
      <right/>
      <top style="thin">
        <color indexed="64"/>
      </top>
      <bottom style="thin">
        <color indexed="64"/>
      </bottom>
      <diagonal/>
    </border>
  </borders>
  <cellStyleXfs count="105">
    <xf numFmtId="0" fontId="0" fillId="0" borderId="0"/>
    <xf numFmtId="43" fontId="1" fillId="0" borderId="0" applyFont="0" applyFill="0" applyBorder="0" applyAlignment="0" applyProtection="0"/>
    <xf numFmtId="168" fontId="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 fillId="0" borderId="0" applyFont="0" applyFill="0" applyBorder="0" applyAlignment="0" applyProtection="0"/>
    <xf numFmtId="43" fontId="10" fillId="0" borderId="0" applyFont="0" applyFill="0" applyBorder="0" applyAlignment="0" applyProtection="0"/>
    <xf numFmtId="164"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23"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44" fontId="9" fillId="0" borderId="0" applyFont="0" applyFill="0" applyBorder="0" applyAlignment="0" applyProtection="0"/>
    <xf numFmtId="166" fontId="1" fillId="0" borderId="0" applyFont="0" applyFill="0" applyBorder="0" applyAlignment="0" applyProtection="0"/>
    <xf numFmtId="44" fontId="10" fillId="0" borderId="0" applyFont="0" applyFill="0" applyBorder="0" applyAlignment="0" applyProtection="0"/>
    <xf numFmtId="44" fontId="24" fillId="0" borderId="0" applyFont="0" applyFill="0" applyBorder="0" applyAlignment="0" applyProtection="0"/>
    <xf numFmtId="44" fontId="23" fillId="0" borderId="0" applyFont="0" applyFill="0" applyBorder="0" applyAlignment="0" applyProtection="0"/>
    <xf numFmtId="0" fontId="1" fillId="0" borderId="0"/>
    <xf numFmtId="0" fontId="1" fillId="0" borderId="0"/>
    <xf numFmtId="0" fontId="24" fillId="0" borderId="0"/>
    <xf numFmtId="0" fontId="1" fillId="0" borderId="0"/>
    <xf numFmtId="0" fontId="23" fillId="0" borderId="0"/>
    <xf numFmtId="0" fontId="1" fillId="0" borderId="0"/>
    <xf numFmtId="0" fontId="1"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4" fillId="0" borderId="0"/>
    <xf numFmtId="0" fontId="10" fillId="4" borderId="36" applyNumberFormat="0" applyFont="0" applyAlignment="0" applyProtection="0"/>
    <xf numFmtId="0" fontId="10" fillId="4" borderId="36" applyNumberFormat="0" applyFont="0" applyAlignment="0" applyProtection="0"/>
    <xf numFmtId="9" fontId="23" fillId="0" borderId="0" applyFont="0" applyFill="0" applyBorder="0" applyAlignment="0" applyProtection="0"/>
    <xf numFmtId="9" fontId="9" fillId="0" borderId="0" applyFont="0" applyFill="0" applyBorder="0" applyAlignment="0" applyProtection="0"/>
    <xf numFmtId="9" fontId="10"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5" fillId="3" borderId="37" applyNumberFormat="0" applyAlignment="0" applyProtection="0"/>
  </cellStyleXfs>
  <cellXfs count="312">
    <xf numFmtId="0" fontId="0" fillId="0" borderId="0" xfId="0"/>
    <xf numFmtId="0" fontId="3" fillId="0" borderId="0" xfId="46" applyFont="1" applyAlignment="1">
      <alignment horizontal="center" vertical="center"/>
    </xf>
    <xf numFmtId="0" fontId="3" fillId="0" borderId="0" xfId="46" applyFont="1" applyAlignment="1">
      <alignment horizontal="left" vertical="center"/>
    </xf>
    <xf numFmtId="0" fontId="4" fillId="5" borderId="1" xfId="46" applyFont="1" applyFill="1" applyBorder="1" applyAlignment="1">
      <alignment horizontal="center" vertical="center"/>
    </xf>
    <xf numFmtId="0" fontId="5" fillId="5" borderId="2" xfId="46" applyFont="1" applyFill="1" applyBorder="1" applyAlignment="1">
      <alignment horizontal="center" vertical="center" wrapText="1"/>
    </xf>
    <xf numFmtId="0" fontId="5" fillId="5" borderId="3" xfId="46" applyFont="1" applyFill="1" applyBorder="1" applyAlignment="1">
      <alignment horizontal="center" vertical="center" wrapText="1"/>
    </xf>
    <xf numFmtId="0" fontId="6" fillId="0" borderId="4" xfId="46" applyFont="1" applyBorder="1" applyAlignment="1">
      <alignment horizontal="center" vertical="center"/>
    </xf>
    <xf numFmtId="0" fontId="26" fillId="0" borderId="5" xfId="0" applyFont="1" applyBorder="1" applyAlignment="1">
      <alignment wrapText="1"/>
    </xf>
    <xf numFmtId="0" fontId="6" fillId="0" borderId="6" xfId="46" applyFont="1" applyBorder="1" applyAlignment="1">
      <alignment horizontal="center" vertical="center"/>
    </xf>
    <xf numFmtId="0" fontId="26" fillId="0" borderId="7" xfId="0" applyFont="1" applyBorder="1" applyAlignment="1">
      <alignment wrapText="1"/>
    </xf>
    <xf numFmtId="14" fontId="26" fillId="0" borderId="7" xfId="0" applyNumberFormat="1" applyFont="1" applyBorder="1" applyAlignment="1">
      <alignment horizontal="center" vertical="center" wrapText="1"/>
    </xf>
    <xf numFmtId="9" fontId="7" fillId="0" borderId="7" xfId="96" applyFont="1" applyBorder="1" applyAlignment="1">
      <alignment horizontal="center" vertical="center"/>
    </xf>
    <xf numFmtId="0" fontId="7" fillId="0" borderId="7" xfId="46" applyFont="1" applyBorder="1" applyAlignment="1">
      <alignment horizontal="center" vertical="center"/>
    </xf>
    <xf numFmtId="4" fontId="7" fillId="6" borderId="7" xfId="46" applyNumberFormat="1" applyFont="1" applyFill="1" applyBorder="1" applyAlignment="1">
      <alignment horizontal="center" vertical="center" wrapText="1"/>
    </xf>
    <xf numFmtId="165" fontId="7" fillId="0" borderId="7" xfId="38" applyNumberFormat="1" applyFont="1" applyBorder="1" applyAlignment="1">
      <alignment horizontal="center" vertical="center" wrapText="1"/>
    </xf>
    <xf numFmtId="4" fontId="26" fillId="0" borderId="7" xfId="0" applyNumberFormat="1" applyFont="1" applyBorder="1" applyAlignment="1">
      <alignment horizontal="center" vertical="center" wrapText="1"/>
    </xf>
    <xf numFmtId="0" fontId="0" fillId="0" borderId="8" xfId="0" applyBorder="1" applyAlignment="1">
      <alignment horizontal="center" vertical="center"/>
    </xf>
    <xf numFmtId="14" fontId="26" fillId="0" borderId="7" xfId="0" applyNumberFormat="1" applyFont="1" applyBorder="1" applyAlignment="1">
      <alignment horizontal="center" vertical="center"/>
    </xf>
    <xf numFmtId="0" fontId="6" fillId="0" borderId="9" xfId="46" applyFont="1" applyBorder="1" applyAlignment="1">
      <alignment horizontal="center" vertical="center"/>
    </xf>
    <xf numFmtId="0" fontId="26" fillId="0" borderId="10" xfId="0" applyFont="1" applyBorder="1" applyAlignment="1">
      <alignment wrapText="1"/>
    </xf>
    <xf numFmtId="14" fontId="26" fillId="0" borderId="10" xfId="0" applyNumberFormat="1" applyFont="1" applyBorder="1" applyAlignment="1">
      <alignment horizontal="center" vertical="center"/>
    </xf>
    <xf numFmtId="14" fontId="26" fillId="0" borderId="10" xfId="0" applyNumberFormat="1" applyFont="1" applyBorder="1" applyAlignment="1">
      <alignment horizontal="center" vertical="center" wrapText="1"/>
    </xf>
    <xf numFmtId="9" fontId="7" fillId="0" borderId="10" xfId="96" applyFont="1" applyBorder="1" applyAlignment="1">
      <alignment horizontal="center" vertical="center"/>
    </xf>
    <xf numFmtId="0" fontId="7" fillId="0" borderId="10" xfId="46" applyFont="1" applyBorder="1" applyAlignment="1">
      <alignment horizontal="center" vertical="center"/>
    </xf>
    <xf numFmtId="0" fontId="7" fillId="0" borderId="10" xfId="46" applyFont="1" applyBorder="1" applyAlignment="1">
      <alignment horizontal="center" vertical="center" wrapText="1"/>
    </xf>
    <xf numFmtId="4" fontId="7" fillId="6" borderId="10" xfId="46" applyNumberFormat="1" applyFont="1" applyFill="1" applyBorder="1" applyAlignment="1">
      <alignment horizontal="center" vertical="center" wrapText="1"/>
    </xf>
    <xf numFmtId="165" fontId="7" fillId="0" borderId="10" xfId="38" applyNumberFormat="1" applyFont="1" applyBorder="1" applyAlignment="1">
      <alignment horizontal="center" vertical="center" wrapText="1"/>
    </xf>
    <xf numFmtId="4" fontId="26" fillId="0" borderId="10" xfId="0" applyNumberFormat="1" applyFont="1" applyBorder="1" applyAlignment="1">
      <alignment horizontal="center" vertical="center" wrapText="1"/>
    </xf>
    <xf numFmtId="0" fontId="0" fillId="0" borderId="11" xfId="0" applyBorder="1" applyAlignment="1">
      <alignment horizontal="center" vertical="center"/>
    </xf>
    <xf numFmtId="0" fontId="6" fillId="0" borderId="0" xfId="46" applyFont="1" applyBorder="1" applyAlignment="1">
      <alignment horizontal="center" vertical="center"/>
    </xf>
    <xf numFmtId="0" fontId="7" fillId="0" borderId="0" xfId="46" applyFont="1" applyBorder="1" applyAlignment="1">
      <alignment vertical="center"/>
    </xf>
    <xf numFmtId="0" fontId="0" fillId="0" borderId="0" xfId="0" applyBorder="1"/>
    <xf numFmtId="0" fontId="6" fillId="2" borderId="0" xfId="46" applyFont="1" applyFill="1" applyBorder="1" applyAlignment="1">
      <alignment horizontal="center" vertical="center" wrapText="1"/>
    </xf>
    <xf numFmtId="0" fontId="6" fillId="2" borderId="12" xfId="46" applyFont="1" applyFill="1" applyBorder="1" applyAlignment="1">
      <alignment horizontal="center" vertical="center" wrapText="1"/>
    </xf>
    <xf numFmtId="0" fontId="4" fillId="5" borderId="13" xfId="46" applyFont="1" applyFill="1" applyBorder="1" applyAlignment="1">
      <alignment horizontal="center" vertical="center"/>
    </xf>
    <xf numFmtId="0" fontId="5" fillId="5" borderId="14" xfId="46" applyFont="1" applyFill="1" applyBorder="1" applyAlignment="1">
      <alignment horizontal="center" vertical="center" wrapText="1"/>
    </xf>
    <xf numFmtId="0" fontId="5" fillId="5" borderId="15" xfId="46" applyFont="1" applyFill="1" applyBorder="1" applyAlignment="1">
      <alignment horizontal="center" vertical="center" wrapText="1"/>
    </xf>
    <xf numFmtId="0" fontId="6" fillId="0" borderId="1" xfId="46" applyFont="1" applyBorder="1" applyAlignment="1">
      <alignment horizontal="center" vertical="center" wrapText="1"/>
    </xf>
    <xf numFmtId="0" fontId="7" fillId="0" borderId="2" xfId="46" applyFont="1" applyBorder="1" applyAlignment="1">
      <alignment vertical="center" wrapText="1"/>
    </xf>
    <xf numFmtId="17" fontId="7" fillId="0" borderId="2" xfId="46" applyNumberFormat="1" applyFont="1" applyBorder="1" applyAlignment="1">
      <alignment horizontal="center" vertical="center" wrapText="1"/>
    </xf>
    <xf numFmtId="9" fontId="7" fillId="0" borderId="2" xfId="46" applyNumberFormat="1" applyFont="1" applyBorder="1" applyAlignment="1">
      <alignment horizontal="center" vertical="center" wrapText="1"/>
    </xf>
    <xf numFmtId="0" fontId="7" fillId="0" borderId="2" xfId="46" applyFont="1" applyBorder="1" applyAlignment="1">
      <alignment horizontal="center" vertical="center" wrapText="1"/>
    </xf>
    <xf numFmtId="0" fontId="1" fillId="0" borderId="2" xfId="0" applyFont="1" applyBorder="1" applyAlignment="1">
      <alignment horizontal="center" vertical="center" wrapText="1"/>
    </xf>
    <xf numFmtId="0" fontId="7" fillId="0" borderId="3" xfId="46" applyFont="1" applyBorder="1" applyAlignment="1">
      <alignment horizontal="center" vertical="center" wrapText="1"/>
    </xf>
    <xf numFmtId="0" fontId="0" fillId="0" borderId="0" xfId="0" applyAlignment="1">
      <alignment vertical="center" wrapText="1"/>
    </xf>
    <xf numFmtId="0" fontId="6" fillId="7" borderId="1" xfId="46" applyFont="1" applyFill="1" applyBorder="1" applyAlignment="1">
      <alignment horizontal="center" vertical="center" wrapText="1"/>
    </xf>
    <xf numFmtId="0" fontId="8" fillId="7" borderId="3" xfId="0" applyFont="1" applyFill="1" applyBorder="1" applyAlignment="1">
      <alignment horizontal="center" vertical="center" wrapText="1"/>
    </xf>
    <xf numFmtId="4" fontId="27" fillId="0" borderId="10" xfId="0" applyNumberFormat="1" applyFont="1" applyBorder="1" applyAlignment="1">
      <alignment horizontal="center" vertical="center" wrapText="1"/>
    </xf>
    <xf numFmtId="9" fontId="15" fillId="0" borderId="7" xfId="46" applyNumberFormat="1" applyFont="1" applyBorder="1" applyAlignment="1">
      <alignment horizontal="center" vertical="center"/>
    </xf>
    <xf numFmtId="49" fontId="15" fillId="0" borderId="7" xfId="46" applyNumberFormat="1" applyFont="1" applyBorder="1" applyAlignment="1">
      <alignment horizontal="center" vertical="center" wrapText="1"/>
    </xf>
    <xf numFmtId="14" fontId="15" fillId="0" borderId="7" xfId="46" applyNumberFormat="1" applyFont="1" applyBorder="1" applyAlignment="1">
      <alignment horizontal="center" vertical="center"/>
    </xf>
    <xf numFmtId="4" fontId="15" fillId="6" borderId="7" xfId="46" applyNumberFormat="1" applyFont="1" applyFill="1" applyBorder="1" applyAlignment="1">
      <alignment horizontal="center" vertical="center" wrapText="1"/>
    </xf>
    <xf numFmtId="4" fontId="15" fillId="6" borderId="5" xfId="46" applyNumberFormat="1" applyFont="1" applyFill="1" applyBorder="1" applyAlignment="1">
      <alignment horizontal="center" vertical="center" wrapText="1"/>
    </xf>
    <xf numFmtId="172" fontId="15" fillId="0" borderId="7" xfId="46" applyNumberFormat="1" applyFont="1" applyBorder="1" applyAlignment="1">
      <alignment horizontal="center" vertical="center"/>
    </xf>
    <xf numFmtId="0" fontId="15" fillId="7" borderId="11" xfId="0" applyFont="1" applyFill="1" applyBorder="1" applyAlignment="1">
      <alignment horizontal="center" vertical="center"/>
    </xf>
    <xf numFmtId="172" fontId="27" fillId="0" borderId="7" xfId="20" applyNumberFormat="1" applyFont="1" applyBorder="1" applyAlignment="1">
      <alignment horizontal="center" vertical="center" wrapText="1"/>
    </xf>
    <xf numFmtId="4" fontId="15" fillId="6" borderId="10" xfId="46" applyNumberFormat="1" applyFont="1" applyFill="1" applyBorder="1" applyAlignment="1">
      <alignment horizontal="center" vertical="center" wrapText="1"/>
    </xf>
    <xf numFmtId="0" fontId="15" fillId="0" borderId="10" xfId="46" applyFont="1" applyBorder="1" applyAlignment="1">
      <alignment horizontal="center" vertical="center" wrapText="1"/>
    </xf>
    <xf numFmtId="0" fontId="15" fillId="7" borderId="8" xfId="0" applyFont="1" applyFill="1" applyBorder="1" applyAlignment="1">
      <alignment horizontal="center" vertical="center"/>
    </xf>
    <xf numFmtId="0" fontId="15" fillId="7" borderId="16" xfId="0" applyFont="1" applyFill="1" applyBorder="1" applyAlignment="1">
      <alignment horizontal="center" vertical="center"/>
    </xf>
    <xf numFmtId="172" fontId="5" fillId="7" borderId="16" xfId="46" applyNumberFormat="1" applyFont="1" applyFill="1" applyBorder="1" applyAlignment="1">
      <alignment horizontal="center" vertical="center"/>
    </xf>
    <xf numFmtId="44" fontId="0" fillId="0" borderId="2" xfId="38" applyFont="1" applyBorder="1" applyAlignment="1">
      <alignment vertical="center" wrapText="1"/>
    </xf>
    <xf numFmtId="172" fontId="5" fillId="2" borderId="17" xfId="3" applyNumberFormat="1" applyFont="1" applyFill="1" applyBorder="1" applyAlignment="1">
      <alignment horizontal="center" vertical="center"/>
    </xf>
    <xf numFmtId="4" fontId="27" fillId="0" borderId="7" xfId="0" applyNumberFormat="1" applyFont="1" applyBorder="1" applyAlignment="1">
      <alignment horizontal="center" vertical="center" wrapText="1"/>
    </xf>
    <xf numFmtId="172" fontId="4" fillId="0" borderId="7" xfId="3" applyNumberFormat="1" applyFont="1" applyBorder="1" applyAlignment="1">
      <alignment horizontal="center" vertical="center"/>
    </xf>
    <xf numFmtId="4" fontId="4" fillId="6" borderId="7" xfId="46" applyNumberFormat="1" applyFont="1" applyFill="1" applyBorder="1" applyAlignment="1">
      <alignment horizontal="center" vertical="center" wrapText="1"/>
    </xf>
    <xf numFmtId="0" fontId="4" fillId="0" borderId="7" xfId="46" applyFont="1" applyBorder="1" applyAlignment="1">
      <alignment horizontal="center" vertical="center"/>
    </xf>
    <xf numFmtId="9" fontId="4" fillId="0" borderId="7" xfId="96" applyFont="1" applyBorder="1" applyAlignment="1">
      <alignment horizontal="center" vertical="center"/>
    </xf>
    <xf numFmtId="4" fontId="27" fillId="0" borderId="5" xfId="0" applyNumberFormat="1" applyFont="1" applyBorder="1" applyAlignment="1">
      <alignment horizontal="center" vertical="center" wrapText="1"/>
    </xf>
    <xf numFmtId="4" fontId="4" fillId="6" borderId="5" xfId="46" applyNumberFormat="1" applyFont="1" applyFill="1" applyBorder="1" applyAlignment="1">
      <alignment horizontal="center" vertical="center" wrapText="1"/>
    </xf>
    <xf numFmtId="0" fontId="4" fillId="0" borderId="7" xfId="46" applyFont="1" applyBorder="1" applyAlignment="1">
      <alignment horizontal="center" vertical="center" wrapText="1"/>
    </xf>
    <xf numFmtId="9" fontId="4" fillId="0" borderId="5" xfId="96" applyFont="1" applyBorder="1" applyAlignment="1">
      <alignment horizontal="center" vertical="center"/>
    </xf>
    <xf numFmtId="14" fontId="4" fillId="0" borderId="7" xfId="46" applyNumberFormat="1" applyFont="1" applyBorder="1" applyAlignment="1">
      <alignment horizontal="center" vertical="center"/>
    </xf>
    <xf numFmtId="172" fontId="27" fillId="0" borderId="7" xfId="3" applyNumberFormat="1" applyFont="1" applyBorder="1" applyAlignment="1">
      <alignment horizontal="center" vertical="center" wrapText="1"/>
    </xf>
    <xf numFmtId="172" fontId="5" fillId="7" borderId="2" xfId="3" applyNumberFormat="1" applyFont="1" applyFill="1" applyBorder="1" applyAlignment="1">
      <alignment horizontal="center" vertical="center"/>
    </xf>
    <xf numFmtId="0" fontId="7" fillId="0" borderId="7" xfId="46" applyFont="1" applyBorder="1" applyAlignment="1">
      <alignment horizontal="center" vertical="center" wrapText="1"/>
    </xf>
    <xf numFmtId="172" fontId="5" fillId="7" borderId="18" xfId="46" applyNumberFormat="1" applyFont="1" applyFill="1" applyBorder="1" applyAlignment="1">
      <alignment horizontal="center" vertical="center"/>
    </xf>
    <xf numFmtId="0" fontId="4" fillId="5" borderId="4" xfId="46" applyFont="1" applyFill="1" applyBorder="1" applyAlignment="1">
      <alignment horizontal="center" vertical="center"/>
    </xf>
    <xf numFmtId="0" fontId="5" fillId="5" borderId="5" xfId="46" applyFont="1" applyFill="1" applyBorder="1" applyAlignment="1">
      <alignment horizontal="center" vertical="center" wrapText="1"/>
    </xf>
    <xf numFmtId="0" fontId="5" fillId="5" borderId="16" xfId="46" applyFont="1" applyFill="1" applyBorder="1" applyAlignment="1">
      <alignment horizontal="center" vertical="center" wrapText="1"/>
    </xf>
    <xf numFmtId="172" fontId="27" fillId="0" borderId="7" xfId="20" applyNumberFormat="1" applyFont="1" applyBorder="1" applyAlignment="1">
      <alignment horizontal="center" vertical="center"/>
    </xf>
    <xf numFmtId="14" fontId="15" fillId="0" borderId="7" xfId="46" applyNumberFormat="1" applyFont="1" applyBorder="1" applyAlignment="1">
      <alignment horizontal="center" vertical="center" wrapText="1"/>
    </xf>
    <xf numFmtId="9" fontId="15" fillId="0" borderId="7" xfId="46" applyNumberFormat="1" applyFont="1" applyBorder="1" applyAlignment="1">
      <alignment horizontal="center" vertical="center" wrapText="1"/>
    </xf>
    <xf numFmtId="0" fontId="1" fillId="0" borderId="10" xfId="46" applyFont="1" applyBorder="1" applyAlignment="1">
      <alignment horizontal="center" vertical="center" wrapText="1"/>
    </xf>
    <xf numFmtId="10" fontId="27" fillId="0" borderId="10" xfId="98" applyNumberFormat="1" applyFont="1" applyBorder="1" applyAlignment="1">
      <alignment horizontal="center" vertical="center" wrapText="1"/>
    </xf>
    <xf numFmtId="14" fontId="15" fillId="0" borderId="10" xfId="46" applyNumberFormat="1" applyFont="1" applyBorder="1" applyAlignment="1">
      <alignment horizontal="center" vertical="center" wrapText="1"/>
    </xf>
    <xf numFmtId="170" fontId="27" fillId="0" borderId="10" xfId="20" applyNumberFormat="1" applyFont="1" applyBorder="1" applyAlignment="1">
      <alignment horizontal="center" vertical="center" wrapText="1"/>
    </xf>
    <xf numFmtId="172" fontId="27" fillId="0" borderId="10" xfId="20" applyNumberFormat="1" applyFont="1" applyBorder="1" applyAlignment="1">
      <alignment horizontal="center" vertical="center" wrapText="1"/>
    </xf>
    <xf numFmtId="0" fontId="8" fillId="0" borderId="0" xfId="0" applyFont="1"/>
    <xf numFmtId="0" fontId="15" fillId="0" borderId="7" xfId="46" applyFont="1" applyFill="1" applyBorder="1" applyAlignment="1">
      <alignment horizontal="left" vertical="center" wrapText="1"/>
    </xf>
    <xf numFmtId="0" fontId="15" fillId="0" borderId="5" xfId="46" applyFont="1" applyFill="1" applyBorder="1" applyAlignment="1">
      <alignment horizontal="left" vertical="center" wrapText="1"/>
    </xf>
    <xf numFmtId="0" fontId="1" fillId="0" borderId="7" xfId="46" applyFont="1" applyBorder="1" applyAlignment="1">
      <alignment horizontal="center" vertical="center" wrapText="1"/>
    </xf>
    <xf numFmtId="169" fontId="27" fillId="0" borderId="7" xfId="48" applyNumberFormat="1" applyFont="1" applyBorder="1" applyAlignment="1">
      <alignment horizontal="center" vertical="center" wrapText="1"/>
    </xf>
    <xf numFmtId="10" fontId="27" fillId="0" borderId="7" xfId="98" applyNumberFormat="1" applyFont="1" applyBorder="1" applyAlignment="1">
      <alignment horizontal="center" vertical="center" wrapText="1"/>
    </xf>
    <xf numFmtId="0" fontId="27" fillId="0" borderId="7" xfId="48" applyFont="1" applyBorder="1" applyAlignment="1">
      <alignment horizontal="center" vertical="center" wrapText="1"/>
    </xf>
    <xf numFmtId="0" fontId="27" fillId="0" borderId="7" xfId="48" applyFont="1" applyBorder="1" applyAlignment="1">
      <alignment horizontal="center" vertical="center" wrapText="1"/>
    </xf>
    <xf numFmtId="171" fontId="27" fillId="0" borderId="7" xfId="20" applyNumberFormat="1" applyFont="1" applyBorder="1" applyAlignment="1">
      <alignment horizontal="center" vertical="center" wrapText="1"/>
    </xf>
    <xf numFmtId="170" fontId="27" fillId="0" borderId="7" xfId="20" applyNumberFormat="1" applyFont="1" applyBorder="1" applyAlignment="1">
      <alignment horizontal="center" vertical="center" wrapText="1"/>
    </xf>
    <xf numFmtId="14" fontId="7" fillId="0" borderId="7" xfId="46" applyNumberFormat="1" applyFont="1" applyBorder="1" applyAlignment="1">
      <alignment horizontal="center" vertical="center"/>
    </xf>
    <xf numFmtId="9" fontId="7" fillId="0" borderId="7" xfId="46" applyNumberFormat="1" applyFont="1" applyBorder="1" applyAlignment="1">
      <alignment horizontal="center" vertical="center"/>
    </xf>
    <xf numFmtId="169" fontId="26" fillId="0" borderId="7" xfId="48" applyNumberFormat="1" applyFont="1" applyBorder="1" applyAlignment="1">
      <alignment horizontal="center" vertical="center" wrapText="1"/>
    </xf>
    <xf numFmtId="169" fontId="27" fillId="0" borderId="7" xfId="48" applyNumberFormat="1" applyFont="1" applyBorder="1" applyAlignment="1">
      <alignment horizontal="center" vertical="center" wrapText="1"/>
    </xf>
    <xf numFmtId="10" fontId="27" fillId="0" borderId="7" xfId="98" applyNumberFormat="1" applyFont="1" applyBorder="1" applyAlignment="1">
      <alignment horizontal="center" vertical="center" wrapText="1"/>
    </xf>
    <xf numFmtId="170" fontId="27" fillId="0" borderId="7" xfId="20" applyNumberFormat="1" applyFont="1" applyBorder="1" applyAlignment="1">
      <alignment horizontal="center" vertical="center" wrapText="1"/>
    </xf>
    <xf numFmtId="0" fontId="15" fillId="0" borderId="7" xfId="46" applyFont="1" applyBorder="1" applyAlignment="1">
      <alignment horizontal="center" vertical="center" wrapText="1"/>
    </xf>
    <xf numFmtId="169" fontId="27" fillId="0" borderId="7" xfId="48" applyNumberFormat="1" applyFont="1" applyBorder="1" applyAlignment="1">
      <alignment horizontal="center" vertical="center" wrapText="1"/>
    </xf>
    <xf numFmtId="10" fontId="27" fillId="0" borderId="7" xfId="98" applyNumberFormat="1" applyFont="1" applyBorder="1" applyAlignment="1">
      <alignment horizontal="center" vertical="center" wrapText="1"/>
    </xf>
    <xf numFmtId="170" fontId="27" fillId="0" borderId="7" xfId="20" applyNumberFormat="1" applyFont="1" applyBorder="1" applyAlignment="1">
      <alignment horizontal="center" vertical="center" wrapText="1"/>
    </xf>
    <xf numFmtId="173" fontId="27" fillId="0" borderId="7" xfId="20" applyNumberFormat="1" applyFont="1" applyBorder="1" applyAlignment="1">
      <alignment horizontal="center" vertical="center" wrapText="1"/>
    </xf>
    <xf numFmtId="0" fontId="15" fillId="0" borderId="10" xfId="46" applyFont="1" applyFill="1" applyBorder="1" applyAlignment="1">
      <alignment horizontal="left" vertical="center" wrapText="1"/>
    </xf>
    <xf numFmtId="170" fontId="27" fillId="0" borderId="7" xfId="20" applyNumberFormat="1" applyFont="1" applyBorder="1" applyAlignment="1">
      <alignment horizontal="center" vertical="center" wrapText="1"/>
    </xf>
    <xf numFmtId="0" fontId="15" fillId="0" borderId="7" xfId="46" applyFont="1" applyBorder="1" applyAlignment="1">
      <alignment horizontal="center" vertical="center"/>
    </xf>
    <xf numFmtId="15" fontId="15" fillId="0" borderId="7" xfId="46" applyNumberFormat="1" applyFont="1" applyBorder="1" applyAlignment="1">
      <alignment horizontal="center" vertical="center"/>
    </xf>
    <xf numFmtId="15" fontId="15" fillId="0" borderId="7" xfId="46" applyNumberFormat="1" applyFont="1" applyBorder="1" applyAlignment="1">
      <alignment vertical="center"/>
    </xf>
    <xf numFmtId="10" fontId="27" fillId="0" borderId="7" xfId="98" applyNumberFormat="1" applyFont="1" applyBorder="1" applyAlignment="1">
      <alignment horizontal="center" vertical="center" wrapText="1"/>
    </xf>
    <xf numFmtId="0" fontId="27" fillId="0" borderId="7" xfId="48" applyFont="1" applyBorder="1" applyAlignment="1">
      <alignment horizontal="center" vertical="center" wrapText="1"/>
    </xf>
    <xf numFmtId="170" fontId="27" fillId="0" borderId="7" xfId="20" applyNumberFormat="1" applyFont="1" applyBorder="1" applyAlignment="1">
      <alignment horizontal="center" vertical="center" wrapText="1"/>
    </xf>
    <xf numFmtId="0" fontId="8" fillId="8" borderId="3" xfId="0" applyFont="1" applyFill="1" applyBorder="1" applyAlignment="1">
      <alignment horizontal="center" vertical="center" wrapText="1"/>
    </xf>
    <xf numFmtId="0" fontId="5" fillId="0" borderId="19" xfId="46" applyFont="1" applyBorder="1" applyAlignment="1">
      <alignment horizontal="center" vertical="center"/>
    </xf>
    <xf numFmtId="0" fontId="1" fillId="0" borderId="0" xfId="46"/>
    <xf numFmtId="0" fontId="17" fillId="0" borderId="0" xfId="46" applyFont="1" applyFill="1" applyAlignment="1">
      <alignment vertical="center"/>
    </xf>
    <xf numFmtId="0" fontId="4" fillId="5" borderId="1" xfId="46" applyFont="1" applyFill="1" applyBorder="1" applyAlignment="1">
      <alignment horizontal="center" vertical="center"/>
    </xf>
    <xf numFmtId="0" fontId="5" fillId="5" borderId="2" xfId="46" applyFont="1" applyFill="1" applyBorder="1" applyAlignment="1">
      <alignment horizontal="center" vertical="center" wrapText="1"/>
    </xf>
    <xf numFmtId="0" fontId="5" fillId="5" borderId="3" xfId="46" applyFont="1" applyFill="1" applyBorder="1" applyAlignment="1">
      <alignment horizontal="center" vertical="center" wrapText="1"/>
    </xf>
    <xf numFmtId="4" fontId="27" fillId="0" borderId="20" xfId="46" applyNumberFormat="1" applyFont="1" applyBorder="1" applyAlignment="1">
      <alignment horizontal="center" vertical="center" wrapText="1"/>
    </xf>
    <xf numFmtId="0" fontId="15" fillId="0" borderId="20" xfId="46" applyFont="1" applyBorder="1" applyAlignment="1">
      <alignment horizontal="center" vertical="center"/>
    </xf>
    <xf numFmtId="0" fontId="15" fillId="0" borderId="18" xfId="46" applyFont="1" applyFill="1" applyBorder="1" applyAlignment="1">
      <alignment horizontal="center" vertical="center"/>
    </xf>
    <xf numFmtId="0" fontId="5" fillId="0" borderId="6" xfId="46" applyFont="1" applyBorder="1" applyAlignment="1">
      <alignment horizontal="center" vertical="center"/>
    </xf>
    <xf numFmtId="0" fontId="27" fillId="0" borderId="7" xfId="46" applyFont="1" applyBorder="1" applyAlignment="1">
      <alignment horizontal="center" vertical="center" wrapText="1"/>
    </xf>
    <xf numFmtId="4" fontId="27" fillId="0" borderId="7" xfId="46" applyNumberFormat="1" applyFont="1" applyBorder="1" applyAlignment="1">
      <alignment horizontal="center" vertical="center" wrapText="1"/>
    </xf>
    <xf numFmtId="0" fontId="15" fillId="0" borderId="8" xfId="46" applyFont="1" applyFill="1" applyBorder="1" applyAlignment="1">
      <alignment horizontal="center" vertical="center"/>
    </xf>
    <xf numFmtId="0" fontId="5" fillId="0" borderId="9" xfId="46" applyFont="1" applyBorder="1" applyAlignment="1">
      <alignment horizontal="center" vertical="center"/>
    </xf>
    <xf numFmtId="4" fontId="27" fillId="0" borderId="10" xfId="46" applyNumberFormat="1" applyFont="1" applyBorder="1" applyAlignment="1">
      <alignment horizontal="center" vertical="center" wrapText="1"/>
    </xf>
    <xf numFmtId="0" fontId="15" fillId="0" borderId="10" xfId="46" applyFont="1" applyBorder="1" applyAlignment="1">
      <alignment horizontal="center" vertical="center"/>
    </xf>
    <xf numFmtId="0" fontId="15" fillId="0" borderId="11" xfId="46" applyFont="1" applyFill="1" applyBorder="1" applyAlignment="1">
      <alignment horizontal="center" vertical="center"/>
    </xf>
    <xf numFmtId="0" fontId="5" fillId="0" borderId="0" xfId="46" applyFont="1" applyBorder="1" applyAlignment="1">
      <alignment horizontal="center" vertical="center"/>
    </xf>
    <xf numFmtId="0" fontId="4" fillId="0" borderId="0" xfId="46" applyFont="1" applyBorder="1" applyAlignment="1">
      <alignment vertical="center"/>
    </xf>
    <xf numFmtId="0" fontId="15" fillId="0" borderId="0" xfId="46" applyFont="1"/>
    <xf numFmtId="0" fontId="4" fillId="0" borderId="0" xfId="46" applyFont="1" applyAlignment="1">
      <alignment vertical="center"/>
    </xf>
    <xf numFmtId="0" fontId="15" fillId="9" borderId="20" xfId="46" applyFont="1" applyFill="1" applyBorder="1" applyAlignment="1">
      <alignment horizontal="center" vertical="center"/>
    </xf>
    <xf numFmtId="44" fontId="27" fillId="0" borderId="7" xfId="43" applyFont="1" applyFill="1" applyBorder="1" applyAlignment="1">
      <alignment horizontal="center" vertical="center" wrapText="1"/>
    </xf>
    <xf numFmtId="10" fontId="27" fillId="10" borderId="7" xfId="98" applyNumberFormat="1" applyFont="1" applyFill="1" applyBorder="1" applyAlignment="1">
      <alignment horizontal="center" vertical="center" wrapText="1"/>
    </xf>
    <xf numFmtId="172" fontId="27" fillId="0" borderId="10" xfId="48" applyNumberFormat="1" applyFont="1" applyBorder="1" applyAlignment="1">
      <alignment horizontal="center" vertical="center" wrapText="1"/>
    </xf>
    <xf numFmtId="0" fontId="26" fillId="0" borderId="10" xfId="48" applyFont="1" applyBorder="1" applyAlignment="1">
      <alignment horizontal="center" vertical="center" wrapText="1"/>
    </xf>
    <xf numFmtId="44" fontId="27" fillId="0" borderId="10" xfId="43" applyFont="1" applyBorder="1" applyAlignment="1">
      <alignment horizontal="center" vertical="center" wrapText="1"/>
    </xf>
    <xf numFmtId="0" fontId="27" fillId="0" borderId="10" xfId="20" applyNumberFormat="1" applyFont="1" applyBorder="1" applyAlignment="1">
      <alignment horizontal="center" vertical="center" wrapText="1"/>
    </xf>
    <xf numFmtId="0" fontId="15" fillId="9" borderId="7" xfId="46" applyFont="1" applyFill="1" applyBorder="1" applyAlignment="1">
      <alignment horizontal="center" vertical="center"/>
    </xf>
    <xf numFmtId="169" fontId="27" fillId="0" borderId="10" xfId="48" applyNumberFormat="1" applyFont="1" applyBorder="1" applyAlignment="1">
      <alignment horizontal="center" vertical="center" wrapText="1"/>
    </xf>
    <xf numFmtId="0" fontId="1" fillId="0" borderId="0" xfId="0" applyFont="1"/>
    <xf numFmtId="172" fontId="27" fillId="0" borderId="7" xfId="48" applyNumberFormat="1" applyFont="1" applyBorder="1" applyAlignment="1">
      <alignment horizontal="center" vertical="center" wrapText="1"/>
    </xf>
    <xf numFmtId="0" fontId="26" fillId="0" borderId="7" xfId="48" applyFont="1" applyBorder="1" applyAlignment="1">
      <alignment horizontal="center" vertical="center" wrapText="1"/>
    </xf>
    <xf numFmtId="10" fontId="27" fillId="0" borderId="7" xfId="98" applyNumberFormat="1" applyFont="1" applyBorder="1" applyAlignment="1">
      <alignment horizontal="center" vertical="center" wrapText="1"/>
    </xf>
    <xf numFmtId="0" fontId="0" fillId="0" borderId="7" xfId="0" applyBorder="1"/>
    <xf numFmtId="169" fontId="27" fillId="0" borderId="7" xfId="48" applyNumberFormat="1" applyFont="1" applyBorder="1" applyAlignment="1">
      <alignment horizontal="center" vertical="center" wrapText="1"/>
    </xf>
    <xf numFmtId="10" fontId="27" fillId="0" borderId="7" xfId="98" applyNumberFormat="1" applyFont="1" applyBorder="1" applyAlignment="1">
      <alignment horizontal="center" vertical="center" wrapText="1"/>
    </xf>
    <xf numFmtId="0" fontId="27" fillId="0" borderId="7" xfId="20" applyNumberFormat="1" applyFont="1" applyBorder="1" applyAlignment="1">
      <alignment horizontal="center" vertical="center" wrapText="1"/>
    </xf>
    <xf numFmtId="0" fontId="27" fillId="0" borderId="7" xfId="48" applyFont="1" applyBorder="1" applyAlignment="1">
      <alignment horizontal="center" vertical="center" wrapText="1"/>
    </xf>
    <xf numFmtId="44" fontId="27" fillId="0" borderId="7" xfId="43" applyFont="1" applyBorder="1" applyAlignment="1">
      <alignment horizontal="center" vertical="center" wrapText="1"/>
    </xf>
    <xf numFmtId="0" fontId="27" fillId="0" borderId="10" xfId="48" applyFont="1" applyBorder="1" applyAlignment="1">
      <alignment horizontal="center" vertical="center" wrapText="1"/>
    </xf>
    <xf numFmtId="0" fontId="27" fillId="10" borderId="7" xfId="48" applyFont="1" applyFill="1" applyBorder="1" applyAlignment="1">
      <alignment horizontal="center" vertical="center" wrapText="1"/>
    </xf>
    <xf numFmtId="169" fontId="27" fillId="0" borderId="7" xfId="48" applyNumberFormat="1" applyFont="1" applyBorder="1" applyAlignment="1">
      <alignment horizontal="center" vertical="center" wrapText="1"/>
    </xf>
    <xf numFmtId="0" fontId="27" fillId="0" borderId="7" xfId="48" applyFont="1" applyBorder="1" applyAlignment="1">
      <alignment horizontal="center" vertical="center" wrapText="1"/>
    </xf>
    <xf numFmtId="169" fontId="27" fillId="0" borderId="7" xfId="48" applyNumberFormat="1" applyFont="1" applyBorder="1" applyAlignment="1">
      <alignment horizontal="center" vertical="center" wrapText="1"/>
    </xf>
    <xf numFmtId="0" fontId="27" fillId="0" borderId="7" xfId="20" applyNumberFormat="1" applyFont="1" applyBorder="1" applyAlignment="1">
      <alignment horizontal="center" vertical="center" wrapText="1"/>
    </xf>
    <xf numFmtId="0" fontId="27" fillId="0" borderId="7" xfId="20" applyNumberFormat="1" applyFont="1" applyBorder="1" applyAlignment="1">
      <alignment horizontal="center" vertical="center" wrapText="1"/>
    </xf>
    <xf numFmtId="0" fontId="27" fillId="0" borderId="7" xfId="48" applyFont="1" applyBorder="1" applyAlignment="1">
      <alignment horizontal="center" vertical="center" wrapText="1"/>
    </xf>
    <xf numFmtId="0" fontId="24" fillId="0" borderId="0" xfId="48"/>
    <xf numFmtId="0" fontId="14" fillId="0" borderId="0" xfId="46" applyFont="1" applyProtection="1">
      <protection hidden="1"/>
    </xf>
    <xf numFmtId="169" fontId="27" fillId="0" borderId="7" xfId="48" applyNumberFormat="1" applyFont="1" applyBorder="1" applyAlignment="1">
      <alignment horizontal="center" vertical="center" wrapText="1"/>
    </xf>
    <xf numFmtId="10" fontId="27" fillId="0" borderId="7" xfId="98" applyNumberFormat="1" applyFont="1" applyBorder="1" applyAlignment="1">
      <alignment horizontal="center" vertical="center" wrapText="1"/>
    </xf>
    <xf numFmtId="0" fontId="27" fillId="0" borderId="7" xfId="20" applyNumberFormat="1" applyFont="1" applyBorder="1" applyAlignment="1">
      <alignment horizontal="center" vertical="center" wrapText="1"/>
    </xf>
    <xf numFmtId="0" fontId="27" fillId="0" borderId="7" xfId="48" applyFont="1" applyBorder="1" applyAlignment="1">
      <alignment horizontal="center" vertical="center" wrapText="1"/>
    </xf>
    <xf numFmtId="44" fontId="27" fillId="0" borderId="7" xfId="43" applyFont="1" applyBorder="1" applyAlignment="1">
      <alignment horizontal="center" vertical="center" wrapText="1"/>
    </xf>
    <xf numFmtId="0" fontId="27" fillId="0" borderId="7" xfId="0" applyFont="1" applyBorder="1" applyAlignment="1">
      <alignment horizontal="center" vertical="center"/>
    </xf>
    <xf numFmtId="0" fontId="14" fillId="0" borderId="7" xfId="46" applyFont="1" applyBorder="1" applyAlignment="1">
      <alignment horizontal="justify" vertical="center" wrapText="1"/>
    </xf>
    <xf numFmtId="4" fontId="18" fillId="0" borderId="7" xfId="0" applyNumberFormat="1" applyFont="1" applyBorder="1" applyAlignment="1">
      <alignment horizontal="center" vertical="center"/>
    </xf>
    <xf numFmtId="10" fontId="18" fillId="0" borderId="7" xfId="46" applyNumberFormat="1" applyFont="1" applyBorder="1" applyAlignment="1">
      <alignment horizontal="center" vertical="center"/>
    </xf>
    <xf numFmtId="14" fontId="18" fillId="0" borderId="7" xfId="46" applyNumberFormat="1" applyFont="1" applyBorder="1" applyAlignment="1">
      <alignment horizontal="center" vertical="center"/>
    </xf>
    <xf numFmtId="0" fontId="18" fillId="0" borderId="7" xfId="46" applyFont="1" applyBorder="1" applyAlignment="1">
      <alignment horizontal="center" vertical="center" wrapText="1"/>
    </xf>
    <xf numFmtId="4" fontId="19" fillId="0" borderId="7" xfId="0" applyNumberFormat="1" applyFont="1" applyBorder="1" applyAlignment="1">
      <alignment horizontal="center" vertical="center"/>
    </xf>
    <xf numFmtId="10" fontId="19" fillId="0" borderId="7" xfId="46" applyNumberFormat="1" applyFont="1" applyBorder="1" applyAlignment="1">
      <alignment horizontal="center" vertical="center"/>
    </xf>
    <xf numFmtId="14" fontId="19" fillId="0" borderId="7" xfId="46" applyNumberFormat="1" applyFont="1" applyBorder="1" applyAlignment="1">
      <alignment horizontal="center" vertical="center"/>
    </xf>
    <xf numFmtId="0" fontId="19" fillId="0" borderId="7" xfId="46" applyFont="1" applyBorder="1" applyAlignment="1">
      <alignment horizontal="center" vertical="center" wrapText="1"/>
    </xf>
    <xf numFmtId="44" fontId="19" fillId="0" borderId="7" xfId="38" applyFont="1" applyBorder="1" applyAlignment="1">
      <alignment horizontal="center" vertical="center"/>
    </xf>
    <xf numFmtId="0" fontId="27" fillId="11" borderId="7" xfId="0" applyFont="1" applyFill="1" applyBorder="1" applyAlignment="1">
      <alignment horizontal="center" vertical="center"/>
    </xf>
    <xf numFmtId="0" fontId="14" fillId="11" borderId="7" xfId="46" applyFont="1" applyFill="1" applyBorder="1" applyAlignment="1">
      <alignment horizontal="justify" vertical="center" wrapText="1"/>
    </xf>
    <xf numFmtId="0" fontId="15" fillId="11" borderId="7" xfId="0" applyFont="1" applyFill="1" applyBorder="1" applyAlignment="1">
      <alignment horizontal="center" vertical="center"/>
    </xf>
    <xf numFmtId="4" fontId="18" fillId="11" borderId="7" xfId="46" applyNumberFormat="1" applyFont="1" applyFill="1" applyBorder="1" applyAlignment="1">
      <alignment horizontal="center" vertical="center"/>
    </xf>
    <xf numFmtId="10" fontId="18" fillId="11" borderId="7" xfId="46" applyNumberFormat="1" applyFont="1" applyFill="1" applyBorder="1" applyAlignment="1">
      <alignment horizontal="center" vertical="center"/>
    </xf>
    <xf numFmtId="14" fontId="18" fillId="11" borderId="7" xfId="46" applyNumberFormat="1" applyFont="1" applyFill="1" applyBorder="1" applyAlignment="1">
      <alignment horizontal="center" vertical="center"/>
    </xf>
    <xf numFmtId="170" fontId="27" fillId="11" borderId="7" xfId="20" applyNumberFormat="1" applyFont="1" applyFill="1" applyBorder="1" applyAlignment="1">
      <alignment horizontal="center" vertical="center" wrapText="1"/>
    </xf>
    <xf numFmtId="0" fontId="18" fillId="11" borderId="7" xfId="46" applyFont="1" applyFill="1" applyBorder="1" applyAlignment="1">
      <alignment horizontal="center" vertical="center"/>
    </xf>
    <xf numFmtId="170" fontId="15" fillId="11" borderId="7" xfId="20" applyNumberFormat="1" applyFont="1" applyFill="1" applyBorder="1" applyAlignment="1">
      <alignment horizontal="center" vertical="center" wrapText="1"/>
    </xf>
    <xf numFmtId="0" fontId="7" fillId="0" borderId="7" xfId="46" applyFont="1" applyBorder="1" applyAlignment="1">
      <alignment vertical="center" wrapText="1"/>
    </xf>
    <xf numFmtId="10" fontId="27" fillId="0" borderId="7" xfId="96" applyNumberFormat="1" applyFont="1" applyBorder="1" applyAlignment="1">
      <alignment horizontal="center" vertical="center" wrapText="1"/>
    </xf>
    <xf numFmtId="44" fontId="4" fillId="0" borderId="7" xfId="44" applyFont="1" applyBorder="1" applyAlignment="1">
      <alignment horizontal="center" vertical="center"/>
    </xf>
    <xf numFmtId="43" fontId="27" fillId="0" borderId="7" xfId="20" applyFont="1" applyBorder="1" applyAlignment="1">
      <alignment horizontal="center" vertical="center" wrapText="1"/>
    </xf>
    <xf numFmtId="44" fontId="27" fillId="0" borderId="7" xfId="38" applyFont="1" applyBorder="1" applyAlignment="1">
      <alignment horizontal="center" vertical="center" wrapText="1"/>
    </xf>
    <xf numFmtId="0" fontId="20" fillId="0" borderId="7" xfId="46" applyFont="1" applyBorder="1" applyAlignment="1">
      <alignment horizontal="center" vertical="center" wrapText="1"/>
    </xf>
    <xf numFmtId="44" fontId="28" fillId="0" borderId="7" xfId="38" applyFont="1" applyBorder="1" applyAlignment="1">
      <alignment horizontal="center" vertical="center" wrapText="1"/>
    </xf>
    <xf numFmtId="10" fontId="28" fillId="0" borderId="7" xfId="96" applyNumberFormat="1" applyFont="1" applyBorder="1" applyAlignment="1">
      <alignment horizontal="center" vertical="center" wrapText="1"/>
    </xf>
    <xf numFmtId="0" fontId="28" fillId="0" borderId="7" xfId="20" applyNumberFormat="1" applyFont="1" applyBorder="1" applyAlignment="1">
      <alignment horizontal="center" vertical="center" wrapText="1"/>
    </xf>
    <xf numFmtId="49" fontId="20" fillId="0" borderId="7" xfId="46" applyNumberFormat="1" applyFont="1" applyBorder="1" applyAlignment="1">
      <alignment vertical="center" wrapText="1"/>
    </xf>
    <xf numFmtId="0" fontId="21" fillId="0" borderId="7" xfId="46" applyFont="1" applyBorder="1" applyAlignment="1">
      <alignment horizontal="center" vertical="center" wrapText="1"/>
    </xf>
    <xf numFmtId="14" fontId="21" fillId="0" borderId="7" xfId="46" applyNumberFormat="1" applyFont="1" applyBorder="1" applyAlignment="1">
      <alignment horizontal="center" vertical="center"/>
    </xf>
    <xf numFmtId="14" fontId="21" fillId="0" borderId="7" xfId="46" applyNumberFormat="1" applyFont="1" applyFill="1" applyBorder="1" applyAlignment="1">
      <alignment horizontal="center" vertical="center"/>
    </xf>
    <xf numFmtId="9" fontId="22" fillId="0" borderId="7" xfId="46" applyNumberFormat="1" applyFont="1" applyBorder="1" applyAlignment="1">
      <alignment horizontal="center" vertical="center"/>
    </xf>
    <xf numFmtId="0" fontId="27" fillId="0" borderId="7" xfId="0" applyFont="1" applyBorder="1" applyAlignment="1">
      <alignment horizontal="center" vertical="center" wrapText="1"/>
    </xf>
    <xf numFmtId="169" fontId="27" fillId="0" borderId="7" xfId="0" applyNumberFormat="1" applyFont="1" applyBorder="1" applyAlignment="1">
      <alignment horizontal="center" vertical="center" wrapText="1"/>
    </xf>
    <xf numFmtId="172" fontId="4" fillId="0" borderId="0" xfId="46" applyNumberFormat="1" applyFont="1" applyBorder="1" applyAlignment="1">
      <alignment vertical="center"/>
    </xf>
    <xf numFmtId="169" fontId="26" fillId="0" borderId="7" xfId="0" applyNumberFormat="1" applyFont="1" applyBorder="1" applyAlignment="1">
      <alignment horizontal="center" vertical="center" wrapText="1"/>
    </xf>
    <xf numFmtId="0" fontId="26" fillId="0" borderId="7" xfId="0" applyFont="1" applyBorder="1" applyAlignment="1">
      <alignment horizontal="center" vertical="center" wrapText="1"/>
    </xf>
    <xf numFmtId="0" fontId="4" fillId="10" borderId="0" xfId="46" applyFont="1" applyFill="1" applyBorder="1" applyAlignment="1">
      <alignment vertical="center"/>
    </xf>
    <xf numFmtId="174" fontId="4" fillId="0" borderId="0" xfId="46" applyNumberFormat="1" applyFont="1" applyAlignment="1">
      <alignment vertical="center"/>
    </xf>
    <xf numFmtId="3" fontId="7" fillId="0" borderId="7" xfId="46" applyNumberFormat="1" applyFont="1" applyBorder="1" applyAlignment="1">
      <alignment horizontal="center" vertical="center" wrapText="1"/>
    </xf>
    <xf numFmtId="175" fontId="7" fillId="0" borderId="7" xfId="46" applyNumberFormat="1" applyFont="1" applyBorder="1" applyAlignment="1">
      <alignment horizontal="center" vertical="center"/>
    </xf>
    <xf numFmtId="4" fontId="27" fillId="0" borderId="5" xfId="46" applyNumberFormat="1" applyFont="1" applyBorder="1" applyAlignment="1">
      <alignment horizontal="center" vertical="center" wrapText="1"/>
    </xf>
    <xf numFmtId="0" fontId="15" fillId="7" borderId="16" xfId="46" applyFont="1" applyFill="1" applyBorder="1" applyAlignment="1">
      <alignment horizontal="center" vertical="center"/>
    </xf>
    <xf numFmtId="0" fontId="15" fillId="7" borderId="8" xfId="46" applyFont="1" applyFill="1" applyBorder="1" applyAlignment="1">
      <alignment horizontal="center" vertical="center"/>
    </xf>
    <xf numFmtId="49" fontId="7" fillId="0" borderId="7" xfId="46" applyNumberFormat="1" applyFont="1" applyBorder="1" applyAlignment="1">
      <alignment horizontal="center" vertical="center" wrapText="1"/>
    </xf>
    <xf numFmtId="0" fontId="1" fillId="0" borderId="0" xfId="46" applyBorder="1"/>
    <xf numFmtId="0" fontId="4" fillId="0" borderId="13" xfId="46" applyFont="1" applyFill="1" applyBorder="1" applyAlignment="1">
      <alignment horizontal="center" vertical="center"/>
    </xf>
    <xf numFmtId="169" fontId="27" fillId="0" borderId="7" xfId="46" applyNumberFormat="1" applyFont="1" applyBorder="1" applyAlignment="1">
      <alignment horizontal="center" vertical="center" wrapText="1"/>
    </xf>
    <xf numFmtId="0" fontId="5" fillId="0" borderId="21" xfId="46" applyFont="1" applyFill="1" applyBorder="1" applyAlignment="1">
      <alignment horizontal="center" vertical="center" wrapText="1"/>
    </xf>
    <xf numFmtId="0" fontId="5" fillId="0" borderId="15" xfId="46" applyFont="1" applyFill="1" applyBorder="1" applyAlignment="1">
      <alignment horizontal="center" vertical="center" wrapText="1"/>
    </xf>
    <xf numFmtId="0" fontId="1" fillId="0" borderId="0" xfId="46" applyFill="1"/>
    <xf numFmtId="0" fontId="1" fillId="0" borderId="2" xfId="46" applyFont="1" applyBorder="1" applyAlignment="1">
      <alignment horizontal="center" vertical="center" wrapText="1"/>
    </xf>
    <xf numFmtId="4" fontId="26" fillId="0" borderId="10" xfId="46" applyNumberFormat="1" applyFont="1" applyBorder="1" applyAlignment="1">
      <alignment horizontal="center" vertical="center" wrapText="1"/>
    </xf>
    <xf numFmtId="0" fontId="1" fillId="0" borderId="0" xfId="46" applyAlignment="1">
      <alignment vertical="center" wrapText="1"/>
    </xf>
    <xf numFmtId="0" fontId="8" fillId="7" borderId="3" xfId="46" applyFont="1" applyFill="1" applyBorder="1" applyAlignment="1">
      <alignment horizontal="center" vertical="center" wrapText="1"/>
    </xf>
    <xf numFmtId="0" fontId="1" fillId="8" borderId="8" xfId="46" applyFill="1" applyBorder="1" applyAlignment="1">
      <alignment horizontal="center" vertical="center"/>
    </xf>
    <xf numFmtId="0" fontId="8" fillId="8" borderId="0" xfId="46" applyFont="1" applyFill="1" applyBorder="1" applyAlignment="1">
      <alignment vertical="center" wrapText="1"/>
    </xf>
    <xf numFmtId="176" fontId="0" fillId="0" borderId="0" xfId="3" applyNumberFormat="1" applyFont="1" applyAlignment="1">
      <alignment vertical="center"/>
    </xf>
    <xf numFmtId="176" fontId="1" fillId="0" borderId="0" xfId="46" applyNumberFormat="1"/>
    <xf numFmtId="0" fontId="5" fillId="5" borderId="22" xfId="46" applyFont="1" applyFill="1" applyBorder="1" applyAlignment="1">
      <alignment horizontal="center" vertical="center" wrapText="1"/>
    </xf>
    <xf numFmtId="0" fontId="5" fillId="5" borderId="7" xfId="46" applyFont="1" applyFill="1" applyBorder="1" applyAlignment="1">
      <alignment horizontal="center" vertical="center" wrapText="1"/>
    </xf>
    <xf numFmtId="170" fontId="5" fillId="0" borderId="7" xfId="46" applyNumberFormat="1" applyFont="1" applyFill="1" applyBorder="1" applyAlignment="1">
      <alignment horizontal="center" vertical="center" wrapText="1"/>
    </xf>
    <xf numFmtId="0" fontId="5" fillId="0" borderId="22" xfId="46" applyFont="1" applyFill="1" applyBorder="1" applyAlignment="1">
      <alignment horizontal="center" vertical="center" wrapText="1"/>
    </xf>
    <xf numFmtId="0" fontId="27" fillId="0" borderId="7" xfId="46" applyFont="1" applyBorder="1" applyAlignment="1">
      <alignment vertical="center" wrapText="1"/>
    </xf>
    <xf numFmtId="0" fontId="6" fillId="0" borderId="23" xfId="46" applyFont="1" applyBorder="1" applyAlignment="1">
      <alignment horizontal="center" vertical="center" wrapText="1"/>
    </xf>
    <xf numFmtId="0" fontId="1" fillId="0" borderId="7" xfId="46" applyBorder="1" applyAlignment="1">
      <alignment vertical="center" wrapText="1"/>
    </xf>
    <xf numFmtId="176" fontId="0" fillId="0" borderId="0" xfId="3" applyNumberFormat="1" applyFont="1" applyBorder="1" applyAlignment="1">
      <alignment vertical="center"/>
    </xf>
    <xf numFmtId="0" fontId="8" fillId="0" borderId="0" xfId="46" applyFont="1" applyFill="1" applyBorder="1" applyAlignment="1">
      <alignment vertical="center" wrapText="1"/>
    </xf>
    <xf numFmtId="0" fontId="8" fillId="0" borderId="24" xfId="46" applyFont="1" applyBorder="1" applyAlignment="1">
      <alignment horizontal="center" vertical="center" wrapText="1"/>
    </xf>
    <xf numFmtId="0" fontId="13" fillId="0" borderId="10" xfId="46" applyFont="1" applyBorder="1" applyAlignment="1">
      <alignment horizontal="center" vertical="center"/>
    </xf>
    <xf numFmtId="0" fontId="13" fillId="0" borderId="25" xfId="46" applyFont="1" applyBorder="1" applyAlignment="1">
      <alignment horizontal="center" vertical="center"/>
    </xf>
    <xf numFmtId="0" fontId="15" fillId="0" borderId="4" xfId="46" applyFont="1" applyBorder="1" applyAlignment="1">
      <alignment horizontal="center" vertical="center"/>
    </xf>
    <xf numFmtId="0" fontId="16" fillId="0" borderId="5" xfId="46" applyFont="1" applyBorder="1" applyAlignment="1">
      <alignment horizontal="center" vertical="center"/>
    </xf>
    <xf numFmtId="0" fontId="16" fillId="8" borderId="5" xfId="46" applyFont="1" applyFill="1" applyBorder="1" applyAlignment="1">
      <alignment horizontal="center" vertical="center"/>
    </xf>
    <xf numFmtId="0" fontId="12" fillId="0" borderId="16" xfId="46" applyFont="1" applyBorder="1" applyAlignment="1">
      <alignment horizontal="center" vertical="center" wrapText="1"/>
    </xf>
    <xf numFmtId="0" fontId="15" fillId="0" borderId="6" xfId="46" applyFont="1" applyBorder="1" applyAlignment="1">
      <alignment horizontal="center" vertical="center"/>
    </xf>
    <xf numFmtId="0" fontId="16" fillId="0" borderId="7" xfId="46" applyFont="1" applyBorder="1" applyAlignment="1">
      <alignment horizontal="center" vertical="center"/>
    </xf>
    <xf numFmtId="0" fontId="16" fillId="9" borderId="7" xfId="46" applyFont="1" applyFill="1" applyBorder="1" applyAlignment="1">
      <alignment horizontal="center" vertical="center"/>
    </xf>
    <xf numFmtId="0" fontId="12" fillId="0" borderId="8" xfId="46" applyFont="1" applyBorder="1" applyAlignment="1">
      <alignment horizontal="center" vertical="center"/>
    </xf>
    <xf numFmtId="0" fontId="16" fillId="8" borderId="7" xfId="46" applyFont="1" applyFill="1" applyBorder="1" applyAlignment="1">
      <alignment horizontal="center" vertical="center"/>
    </xf>
    <xf numFmtId="0" fontId="12" fillId="0" borderId="8" xfId="46" applyFont="1" applyBorder="1"/>
    <xf numFmtId="0" fontId="15" fillId="0" borderId="9" xfId="46" applyFont="1" applyBorder="1" applyAlignment="1">
      <alignment horizontal="center" vertical="center"/>
    </xf>
    <xf numFmtId="0" fontId="16" fillId="0" borderId="10" xfId="46" applyFont="1" applyBorder="1" applyAlignment="1">
      <alignment horizontal="center" vertical="center"/>
    </xf>
    <xf numFmtId="0" fontId="16" fillId="9" borderId="10" xfId="46" applyFont="1" applyFill="1" applyBorder="1" applyAlignment="1">
      <alignment horizontal="center" vertical="center"/>
    </xf>
    <xf numFmtId="0" fontId="12" fillId="0" borderId="11" xfId="46" applyFont="1" applyBorder="1"/>
    <xf numFmtId="2" fontId="27" fillId="0" borderId="7" xfId="46" applyNumberFormat="1" applyFont="1" applyBorder="1" applyAlignment="1">
      <alignment horizontal="center" vertical="center" wrapText="1"/>
    </xf>
    <xf numFmtId="0" fontId="8" fillId="0" borderId="0" xfId="46" applyFont="1"/>
    <xf numFmtId="0" fontId="1" fillId="0" borderId="0" xfId="46" applyFont="1"/>
    <xf numFmtId="0" fontId="12" fillId="0" borderId="8" xfId="46" applyFont="1" applyBorder="1" applyAlignment="1">
      <alignment wrapText="1"/>
    </xf>
    <xf numFmtId="0" fontId="16" fillId="0" borderId="7" xfId="46" quotePrefix="1" applyFont="1" applyBorder="1" applyAlignment="1">
      <alignment horizontal="center" vertical="center"/>
    </xf>
    <xf numFmtId="0" fontId="12" fillId="0" borderId="7" xfId="46" applyFont="1" applyFill="1" applyBorder="1" applyAlignment="1">
      <alignment vertical="center" wrapText="1"/>
    </xf>
    <xf numFmtId="0" fontId="12" fillId="0" borderId="8" xfId="46" applyFont="1" applyBorder="1" applyAlignment="1">
      <alignment horizontal="center" vertical="center" wrapText="1"/>
    </xf>
    <xf numFmtId="0" fontId="3" fillId="0" borderId="0" xfId="46" applyFont="1" applyBorder="1" applyAlignment="1">
      <alignment horizontal="center" vertical="center"/>
    </xf>
    <xf numFmtId="0" fontId="6" fillId="2" borderId="26" xfId="46" applyFont="1" applyFill="1" applyBorder="1" applyAlignment="1">
      <alignment horizontal="center" vertical="center" wrapText="1"/>
    </xf>
    <xf numFmtId="0" fontId="6" fillId="2" borderId="27" xfId="46" applyFont="1" applyFill="1" applyBorder="1" applyAlignment="1">
      <alignment horizontal="center" vertical="center" wrapText="1"/>
    </xf>
    <xf numFmtId="0" fontId="6" fillId="2" borderId="9" xfId="46" applyFont="1" applyFill="1" applyBorder="1" applyAlignment="1">
      <alignment horizontal="center" vertical="center" wrapText="1"/>
    </xf>
    <xf numFmtId="0" fontId="6" fillId="2" borderId="10" xfId="46" applyFont="1" applyFill="1" applyBorder="1" applyAlignment="1">
      <alignment horizontal="center" vertical="center" wrapText="1"/>
    </xf>
    <xf numFmtId="0" fontId="6" fillId="2" borderId="11" xfId="46" applyFont="1" applyFill="1" applyBorder="1" applyAlignment="1">
      <alignment horizontal="center" vertical="center" wrapText="1"/>
    </xf>
    <xf numFmtId="0" fontId="1" fillId="0" borderId="28" xfId="0" applyFont="1" applyBorder="1" applyAlignment="1">
      <alignment horizontal="center" vertical="center" wrapText="1"/>
    </xf>
    <xf numFmtId="0" fontId="0" fillId="0" borderId="28" xfId="0" applyBorder="1" applyAlignment="1">
      <alignment horizontal="center" vertical="center" wrapText="1"/>
    </xf>
    <xf numFmtId="0" fontId="0" fillId="0" borderId="0" xfId="0" applyAlignment="1">
      <alignment horizontal="center" vertical="center" wrapText="1"/>
    </xf>
    <xf numFmtId="0" fontId="0" fillId="0" borderId="0" xfId="0" applyBorder="1" applyAlignment="1">
      <alignment horizontal="center"/>
    </xf>
    <xf numFmtId="0" fontId="2" fillId="0" borderId="0" xfId="46" applyFont="1" applyAlignment="1">
      <alignment horizontal="center" vertical="center" wrapText="1"/>
    </xf>
    <xf numFmtId="0" fontId="2" fillId="0" borderId="0" xfId="46" applyFont="1" applyAlignment="1">
      <alignment horizontal="center" vertical="center"/>
    </xf>
    <xf numFmtId="0" fontId="2" fillId="0" borderId="0" xfId="46" applyFont="1" applyAlignment="1">
      <alignment horizontal="left" vertical="center"/>
    </xf>
    <xf numFmtId="0" fontId="3" fillId="0" borderId="0" xfId="46" applyFont="1" applyAlignment="1">
      <alignment horizontal="left" vertical="center"/>
    </xf>
    <xf numFmtId="0" fontId="2" fillId="0" borderId="0" xfId="0" applyFont="1" applyFill="1" applyAlignment="1">
      <alignment horizontal="center" vertical="center"/>
    </xf>
    <xf numFmtId="0" fontId="6" fillId="2" borderId="29" xfId="46" applyFont="1" applyFill="1" applyBorder="1" applyAlignment="1">
      <alignment horizontal="center" vertical="center" wrapText="1"/>
    </xf>
    <xf numFmtId="0" fontId="6" fillId="2" borderId="30" xfId="46" applyFont="1" applyFill="1" applyBorder="1" applyAlignment="1">
      <alignment horizontal="center" vertical="center" wrapText="1"/>
    </xf>
    <xf numFmtId="0" fontId="1" fillId="0" borderId="28" xfId="46" applyFont="1" applyBorder="1" applyAlignment="1">
      <alignment horizontal="center" vertical="center" wrapText="1"/>
    </xf>
    <xf numFmtId="0" fontId="1" fillId="0" borderId="28" xfId="46" applyBorder="1" applyAlignment="1">
      <alignment horizontal="center" vertical="center" wrapText="1"/>
    </xf>
    <xf numFmtId="0" fontId="1" fillId="0" borderId="0" xfId="46" applyAlignment="1">
      <alignment horizontal="center" vertical="center" wrapText="1"/>
    </xf>
    <xf numFmtId="0" fontId="1" fillId="0" borderId="0" xfId="46" applyBorder="1" applyAlignment="1">
      <alignment horizontal="center"/>
    </xf>
    <xf numFmtId="0" fontId="2" fillId="0" borderId="0" xfId="46" applyFont="1" applyFill="1" applyAlignment="1">
      <alignment horizontal="center" vertical="center"/>
    </xf>
    <xf numFmtId="0" fontId="27" fillId="0" borderId="31" xfId="46" applyFont="1" applyBorder="1" applyAlignment="1">
      <alignment horizontal="left" vertical="center" wrapText="1"/>
    </xf>
    <xf numFmtId="0" fontId="27" fillId="0" borderId="32" xfId="46" applyFont="1" applyBorder="1" applyAlignment="1">
      <alignment horizontal="left" vertical="center" wrapText="1"/>
    </xf>
    <xf numFmtId="0" fontId="8" fillId="0" borderId="4" xfId="46" applyFont="1" applyBorder="1" applyAlignment="1">
      <alignment horizontal="center" vertical="center" wrapText="1"/>
    </xf>
    <xf numFmtId="0" fontId="8" fillId="0" borderId="9" xfId="46" applyFont="1" applyBorder="1" applyAlignment="1">
      <alignment horizontal="center" vertical="center" wrapText="1"/>
    </xf>
    <xf numFmtId="0" fontId="8" fillId="0" borderId="5" xfId="46" applyFont="1" applyBorder="1" applyAlignment="1">
      <alignment horizontal="center" vertical="center" wrapText="1"/>
    </xf>
    <xf numFmtId="0" fontId="8" fillId="0" borderId="10" xfId="46" applyFont="1" applyBorder="1" applyAlignment="1">
      <alignment horizontal="center" vertical="center" wrapText="1"/>
    </xf>
    <xf numFmtId="0" fontId="8" fillId="0" borderId="16" xfId="46" applyFont="1" applyBorder="1" applyAlignment="1">
      <alignment horizontal="center" vertical="center" wrapText="1"/>
    </xf>
    <xf numFmtId="0" fontId="8" fillId="0" borderId="11" xfId="46" applyFont="1" applyBorder="1" applyAlignment="1">
      <alignment horizontal="center" vertical="center" wrapText="1"/>
    </xf>
    <xf numFmtId="0" fontId="11" fillId="0" borderId="0" xfId="46" applyFont="1" applyAlignment="1">
      <alignment horizontal="center" vertical="center"/>
    </xf>
    <xf numFmtId="0" fontId="11" fillId="0" borderId="0" xfId="46" applyFont="1" applyAlignment="1">
      <alignment horizontal="center" vertical="center" wrapText="1"/>
    </xf>
    <xf numFmtId="0" fontId="1" fillId="0" borderId="0" xfId="46" applyAlignment="1">
      <alignment horizontal="center" vertical="center"/>
    </xf>
    <xf numFmtId="0" fontId="8" fillId="0" borderId="0" xfId="46" applyFont="1" applyAlignment="1">
      <alignment horizontal="center"/>
    </xf>
    <xf numFmtId="0" fontId="29" fillId="12" borderId="33" xfId="46" applyFont="1" applyFill="1" applyBorder="1" applyAlignment="1">
      <alignment horizontal="center"/>
    </xf>
    <xf numFmtId="0" fontId="29" fillId="12" borderId="34" xfId="46" applyFont="1" applyFill="1" applyBorder="1" applyAlignment="1">
      <alignment horizontal="center"/>
    </xf>
    <xf numFmtId="0" fontId="30" fillId="12" borderId="33" xfId="46" applyFont="1" applyFill="1" applyBorder="1" applyAlignment="1">
      <alignment horizontal="center"/>
    </xf>
    <xf numFmtId="0" fontId="30" fillId="12" borderId="35" xfId="46" applyFont="1" applyFill="1" applyBorder="1" applyAlignment="1">
      <alignment horizontal="center"/>
    </xf>
    <xf numFmtId="0" fontId="30" fillId="12" borderId="34" xfId="46" applyFont="1" applyFill="1" applyBorder="1" applyAlignment="1">
      <alignment horizontal="center"/>
    </xf>
    <xf numFmtId="0" fontId="31" fillId="0" borderId="31" xfId="0" applyFont="1" applyBorder="1" applyAlignment="1">
      <alignment horizontal="center" vertical="center" wrapText="1"/>
    </xf>
    <xf numFmtId="0" fontId="31" fillId="0" borderId="32" xfId="0" applyFont="1" applyBorder="1" applyAlignment="1">
      <alignment horizontal="center" vertical="center" wrapText="1"/>
    </xf>
    <xf numFmtId="0" fontId="27" fillId="0" borderId="38" xfId="0" applyFont="1" applyBorder="1" applyAlignment="1">
      <alignment horizontal="center" vertical="center"/>
    </xf>
    <xf numFmtId="0" fontId="27" fillId="0" borderId="32" xfId="0" applyFont="1" applyBorder="1" applyAlignment="1">
      <alignment horizontal="center" vertical="center"/>
    </xf>
    <xf numFmtId="0" fontId="3" fillId="8" borderId="0" xfId="46" applyFont="1" applyFill="1" applyAlignment="1">
      <alignment horizontal="center" vertical="center"/>
    </xf>
    <xf numFmtId="0" fontId="14" fillId="0" borderId="0" xfId="46" applyFont="1" applyAlignment="1" applyProtection="1">
      <alignment horizontal="left" vertical="top" wrapText="1"/>
      <protection hidden="1"/>
    </xf>
  </cellXfs>
  <cellStyles count="105">
    <cellStyle name="Comma 2" xfId="1"/>
    <cellStyle name="Euro" xfId="2"/>
    <cellStyle name="Millares" xfId="3" builtinId="3"/>
    <cellStyle name="Millares 10 2" xfId="4"/>
    <cellStyle name="Millares 10 3" xfId="5"/>
    <cellStyle name="Millares 10 4" xfId="6"/>
    <cellStyle name="Millares 10 5" xfId="7"/>
    <cellStyle name="Millares 10 6" xfId="8"/>
    <cellStyle name="Millares 10 7" xfId="9"/>
    <cellStyle name="Millares 11 2" xfId="10"/>
    <cellStyle name="Millares 11 3" xfId="11"/>
    <cellStyle name="Millares 11 4" xfId="12"/>
    <cellStyle name="Millares 14 2" xfId="13"/>
    <cellStyle name="Millares 14 3" xfId="14"/>
    <cellStyle name="Millares 14 4" xfId="15"/>
    <cellStyle name="Millares 14 5" xfId="16"/>
    <cellStyle name="Millares 14 6" xfId="17"/>
    <cellStyle name="Millares 14 7" xfId="18"/>
    <cellStyle name="Millares 2" xfId="19"/>
    <cellStyle name="Millares 2 2" xfId="20"/>
    <cellStyle name="Millares 3" xfId="21"/>
    <cellStyle name="Millares 3 2" xfId="22"/>
    <cellStyle name="Millares 4" xfId="23"/>
    <cellStyle name="Millares 5" xfId="24"/>
    <cellStyle name="Millares 6 10" xfId="25"/>
    <cellStyle name="Millares 6 11" xfId="26"/>
    <cellStyle name="Millares 6 2" xfId="27"/>
    <cellStyle name="Millares 6 3" xfId="28"/>
    <cellStyle name="Millares 6 4" xfId="29"/>
    <cellStyle name="Millares 6 5" xfId="30"/>
    <cellStyle name="Millares 6 6" xfId="31"/>
    <cellStyle name="Millares 6 7" xfId="32"/>
    <cellStyle name="Millares 6 8" xfId="33"/>
    <cellStyle name="Millares 6 9" xfId="34"/>
    <cellStyle name="Millares 7 2" xfId="35"/>
    <cellStyle name="Millares 7 3" xfId="36"/>
    <cellStyle name="Millares 7 4" xfId="37"/>
    <cellStyle name="Moneda" xfId="38" builtinId="4"/>
    <cellStyle name="Moneda 2" xfId="39"/>
    <cellStyle name="Moneda 2 2" xfId="40"/>
    <cellStyle name="Moneda 3" xfId="41"/>
    <cellStyle name="Moneda 4" xfId="42"/>
    <cellStyle name="Moneda 5" xfId="43"/>
    <cellStyle name="Moneda 6" xfId="44"/>
    <cellStyle name="Moneda 7" xfId="45"/>
    <cellStyle name="Normal" xfId="0" builtinId="0"/>
    <cellStyle name="Normal 2" xfId="46"/>
    <cellStyle name="Normal 2 2" xfId="47"/>
    <cellStyle name="Normal 2 3" xfId="48"/>
    <cellStyle name="Normal 2_Kresidual" xfId="49"/>
    <cellStyle name="Normal 3" xfId="50"/>
    <cellStyle name="Normal 3 2" xfId="51"/>
    <cellStyle name="Normal 3 3" xfId="52"/>
    <cellStyle name="Normal 3 4" xfId="53"/>
    <cellStyle name="Normal 4" xfId="54"/>
    <cellStyle name="Normal 4 10" xfId="55"/>
    <cellStyle name="Normal 4 11" xfId="56"/>
    <cellStyle name="Normal 4 12" xfId="57"/>
    <cellStyle name="Normal 4 13" xfId="58"/>
    <cellStyle name="Normal 4 14" xfId="59"/>
    <cellStyle name="Normal 4 15" xfId="60"/>
    <cellStyle name="Normal 4 16" xfId="61"/>
    <cellStyle name="Normal 4 17" xfId="62"/>
    <cellStyle name="Normal 4 18" xfId="63"/>
    <cellStyle name="Normal 4 19" xfId="64"/>
    <cellStyle name="Normal 4 2" xfId="65"/>
    <cellStyle name="Normal 4 20" xfId="66"/>
    <cellStyle name="Normal 4 21" xfId="67"/>
    <cellStyle name="Normal 4 22" xfId="68"/>
    <cellStyle name="Normal 4 23" xfId="69"/>
    <cellStyle name="Normal 4 24" xfId="70"/>
    <cellStyle name="Normal 4 25" xfId="71"/>
    <cellStyle name="Normal 4 26" xfId="72"/>
    <cellStyle name="Normal 4 27" xfId="73"/>
    <cellStyle name="Normal 4 28" xfId="74"/>
    <cellStyle name="Normal 4 29" xfId="75"/>
    <cellStyle name="Normal 4 3" xfId="76"/>
    <cellStyle name="Normal 4 30" xfId="77"/>
    <cellStyle name="Normal 4 31" xfId="78"/>
    <cellStyle name="Normal 4 32" xfId="79"/>
    <cellStyle name="Normal 4 33" xfId="80"/>
    <cellStyle name="Normal 4 34" xfId="81"/>
    <cellStyle name="Normal 4 35" xfId="82"/>
    <cellStyle name="Normal 4 36" xfId="83"/>
    <cellStyle name="Normal 4 37" xfId="84"/>
    <cellStyle name="Normal 4 38" xfId="85"/>
    <cellStyle name="Normal 4 39" xfId="86"/>
    <cellStyle name="Normal 4 4" xfId="87"/>
    <cellStyle name="Normal 4 5" xfId="88"/>
    <cellStyle name="Normal 4 6" xfId="89"/>
    <cellStyle name="Normal 4 7" xfId="90"/>
    <cellStyle name="Normal 4 8" xfId="91"/>
    <cellStyle name="Normal 4 9" xfId="92"/>
    <cellStyle name="Normal 5" xfId="93"/>
    <cellStyle name="Notas 2" xfId="94"/>
    <cellStyle name="Notas 3" xfId="95"/>
    <cellStyle name="Porcentaje" xfId="96" builtinId="5"/>
    <cellStyle name="Porcentaje 2" xfId="97"/>
    <cellStyle name="Porcentaje 3" xfId="98"/>
    <cellStyle name="Porcentaje 4" xfId="99"/>
    <cellStyle name="Porcentual 2" xfId="100"/>
    <cellStyle name="Porcentual 3" xfId="101"/>
    <cellStyle name="Porcentual 3 2" xfId="102"/>
    <cellStyle name="Porcentual 3 3" xfId="103"/>
    <cellStyle name="Salida 2" xfId="1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5"/>
  <sheetViews>
    <sheetView showGridLines="0" topLeftCell="A4" zoomScale="85" zoomScaleNormal="85" zoomScalePageLayoutView="40" workbookViewId="0">
      <selection activeCell="K21" sqref="K21"/>
    </sheetView>
  </sheetViews>
  <sheetFormatPr baseColWidth="10" defaultColWidth="11.42578125" defaultRowHeight="12.75"/>
  <cols>
    <col min="1" max="1" width="6.5703125" customWidth="1"/>
    <col min="2" max="2" width="6" customWidth="1"/>
    <col min="3" max="3" width="37.28515625" customWidth="1"/>
    <col min="4" max="4" width="24.7109375" customWidth="1"/>
    <col min="5" max="5" width="15.7109375" customWidth="1"/>
    <col min="6" max="6" width="28.7109375" customWidth="1"/>
    <col min="7" max="7" width="24.7109375" customWidth="1"/>
    <col min="8" max="8" width="21.42578125" customWidth="1"/>
    <col min="9" max="9" width="23" customWidth="1"/>
    <col min="10" max="10" width="23.5703125" customWidth="1"/>
    <col min="11" max="11" width="29.85546875" customWidth="1"/>
    <col min="12" max="12" width="20.85546875" customWidth="1"/>
    <col min="13" max="14" width="21.5703125" customWidth="1"/>
    <col min="15" max="15" width="21.85546875" customWidth="1"/>
  </cols>
  <sheetData>
    <row r="1" spans="2:14" ht="18.75">
      <c r="B1" s="277" t="s">
        <v>21</v>
      </c>
      <c r="C1" s="278"/>
      <c r="D1" s="278"/>
      <c r="E1" s="278"/>
      <c r="F1" s="278"/>
      <c r="G1" s="278"/>
      <c r="H1" s="278"/>
      <c r="I1" s="278"/>
      <c r="J1" s="278"/>
      <c r="K1" s="278"/>
      <c r="L1" s="278"/>
    </row>
    <row r="2" spans="2:14" ht="59.25" customHeight="1">
      <c r="B2" s="277" t="s">
        <v>22</v>
      </c>
      <c r="C2" s="278"/>
      <c r="D2" s="278"/>
      <c r="E2" s="278"/>
      <c r="F2" s="278"/>
      <c r="G2" s="278"/>
      <c r="H2" s="278"/>
      <c r="I2" s="278"/>
      <c r="J2" s="278"/>
      <c r="K2" s="278"/>
      <c r="L2" s="278"/>
    </row>
    <row r="3" spans="2:14" ht="18.75">
      <c r="B3" s="281" t="s">
        <v>33</v>
      </c>
      <c r="C3" s="281"/>
      <c r="D3" s="281"/>
      <c r="E3" s="281"/>
      <c r="F3" s="281"/>
      <c r="G3" s="281"/>
      <c r="H3" s="281"/>
      <c r="I3" s="281"/>
      <c r="J3" s="281"/>
      <c r="K3" s="281"/>
      <c r="L3" s="281"/>
    </row>
    <row r="4" spans="2:14" ht="18.75">
      <c r="B4" s="281" t="s">
        <v>0</v>
      </c>
      <c r="C4" s="281"/>
      <c r="D4" s="281"/>
      <c r="E4" s="281"/>
      <c r="F4" s="281"/>
      <c r="G4" s="281"/>
      <c r="H4" s="281"/>
      <c r="I4" s="281"/>
      <c r="J4" s="281"/>
      <c r="K4" s="281"/>
      <c r="L4" s="281"/>
    </row>
    <row r="5" spans="2:14" ht="15.75">
      <c r="B5" s="1"/>
      <c r="C5" s="1"/>
      <c r="D5" s="1"/>
      <c r="E5" s="1"/>
      <c r="F5" s="1"/>
      <c r="G5" s="1"/>
      <c r="H5" s="1"/>
      <c r="I5" s="1"/>
      <c r="J5" s="1"/>
      <c r="K5" s="1"/>
      <c r="L5" s="1"/>
    </row>
    <row r="6" spans="2:14" ht="18.75">
      <c r="B6" s="279" t="s">
        <v>23</v>
      </c>
      <c r="C6" s="279"/>
      <c r="D6" s="280" t="s">
        <v>25</v>
      </c>
      <c r="E6" s="280"/>
      <c r="F6" s="280"/>
      <c r="G6" s="280"/>
      <c r="H6" s="280"/>
      <c r="I6" s="280"/>
      <c r="J6" s="280"/>
      <c r="K6" s="280"/>
      <c r="L6" s="280"/>
      <c r="M6" s="280"/>
    </row>
    <row r="7" spans="2:14" ht="18.75">
      <c r="B7" s="279" t="s">
        <v>24</v>
      </c>
      <c r="C7" s="279"/>
      <c r="D7" s="280" t="s">
        <v>25</v>
      </c>
      <c r="E7" s="280"/>
      <c r="F7" s="280"/>
      <c r="G7" s="280"/>
      <c r="H7" s="280"/>
      <c r="I7" s="280"/>
      <c r="J7" s="280"/>
      <c r="K7" s="280"/>
      <c r="L7" s="280"/>
      <c r="M7" s="280"/>
    </row>
    <row r="8" spans="2:14" ht="15.75">
      <c r="B8" s="2"/>
      <c r="C8" s="2"/>
      <c r="D8" s="2"/>
      <c r="E8" s="2"/>
      <c r="F8" s="2"/>
      <c r="G8" s="2"/>
      <c r="H8" s="2"/>
      <c r="I8" s="2"/>
      <c r="J8" s="2"/>
      <c r="K8" s="2"/>
      <c r="L8" s="2"/>
    </row>
    <row r="9" spans="2:14" ht="26.25" customHeight="1" thickBot="1">
      <c r="B9" s="267" t="s">
        <v>1</v>
      </c>
      <c r="C9" s="267"/>
      <c r="D9" s="267"/>
      <c r="E9" s="267"/>
      <c r="F9" s="267"/>
      <c r="G9" s="267"/>
      <c r="H9" s="267"/>
      <c r="I9" s="267"/>
      <c r="J9" s="267"/>
      <c r="K9" s="267"/>
      <c r="L9" s="267"/>
    </row>
    <row r="10" spans="2:14" ht="81" customHeight="1" thickBot="1">
      <c r="B10" s="3"/>
      <c r="C10" s="4" t="s">
        <v>2</v>
      </c>
      <c r="D10" s="4" t="s">
        <v>3</v>
      </c>
      <c r="E10" s="4" t="s">
        <v>4</v>
      </c>
      <c r="F10" s="4" t="s">
        <v>5</v>
      </c>
      <c r="G10" s="4" t="s">
        <v>6</v>
      </c>
      <c r="H10" s="4" t="s">
        <v>7</v>
      </c>
      <c r="I10" s="4" t="s">
        <v>8</v>
      </c>
      <c r="J10" s="4" t="s">
        <v>9</v>
      </c>
      <c r="K10" s="4" t="s">
        <v>10</v>
      </c>
      <c r="L10" s="4" t="s">
        <v>11</v>
      </c>
      <c r="M10" s="5" t="s">
        <v>12</v>
      </c>
    </row>
    <row r="11" spans="2:14" ht="69" customHeight="1">
      <c r="B11" s="6">
        <v>1</v>
      </c>
      <c r="C11" s="7" t="s">
        <v>27</v>
      </c>
      <c r="D11" s="72">
        <v>34697</v>
      </c>
      <c r="E11" s="72">
        <v>34811</v>
      </c>
      <c r="F11" s="71">
        <v>1</v>
      </c>
      <c r="G11" s="71" t="s">
        <v>29</v>
      </c>
      <c r="H11" s="70" t="s">
        <v>30</v>
      </c>
      <c r="I11" s="69" t="s">
        <v>32</v>
      </c>
      <c r="J11" s="69" t="s">
        <v>32</v>
      </c>
      <c r="K11" s="73">
        <v>219995678.38999999</v>
      </c>
      <c r="L11" s="68">
        <f>+K11/98700</f>
        <v>2228.9329117527859</v>
      </c>
      <c r="M11" s="59" t="s">
        <v>15</v>
      </c>
    </row>
    <row r="12" spans="2:14" ht="67.5" customHeight="1" thickBot="1">
      <c r="B12" s="8">
        <v>2</v>
      </c>
      <c r="C12" s="9" t="s">
        <v>28</v>
      </c>
      <c r="D12" s="72">
        <v>40763</v>
      </c>
      <c r="E12" s="72">
        <v>40875</v>
      </c>
      <c r="F12" s="67">
        <v>1</v>
      </c>
      <c r="G12" s="66" t="s">
        <v>29</v>
      </c>
      <c r="H12" s="70" t="s">
        <v>31</v>
      </c>
      <c r="I12" s="65" t="s">
        <v>32</v>
      </c>
      <c r="J12" s="65" t="s">
        <v>32</v>
      </c>
      <c r="K12" s="64">
        <v>184613245</v>
      </c>
      <c r="L12" s="63">
        <f>+K12/515000</f>
        <v>358.47232038834949</v>
      </c>
      <c r="M12" s="58" t="s">
        <v>15</v>
      </c>
    </row>
    <row r="13" spans="2:14" s="31" customFormat="1" ht="59.25" customHeight="1">
      <c r="B13" s="29"/>
      <c r="C13" s="30"/>
      <c r="D13" s="30"/>
      <c r="E13" s="30"/>
      <c r="F13" s="30"/>
      <c r="I13" s="268" t="s">
        <v>16</v>
      </c>
      <c r="J13" s="269"/>
      <c r="K13" s="60">
        <f>SUM(K11:K12)</f>
        <v>404608923.38999999</v>
      </c>
      <c r="M13" s="276"/>
      <c r="N13" s="276"/>
    </row>
    <row r="14" spans="2:14" ht="68.25" customHeight="1" thickBot="1">
      <c r="B14" s="29"/>
      <c r="C14" s="30"/>
      <c r="D14" s="30"/>
      <c r="E14" s="30"/>
      <c r="F14" s="30"/>
      <c r="G14" s="32"/>
      <c r="H14" s="32"/>
      <c r="I14" s="270" t="s">
        <v>199</v>
      </c>
      <c r="J14" s="271"/>
      <c r="K14" s="272"/>
    </row>
    <row r="15" spans="2:14" ht="16.5" customHeight="1"/>
    <row r="16" spans="2:14" ht="16.5" thickBot="1">
      <c r="B16" s="267" t="s">
        <v>36</v>
      </c>
      <c r="C16" s="267"/>
      <c r="D16" s="267"/>
      <c r="E16" s="267"/>
      <c r="F16" s="267"/>
      <c r="G16" s="267"/>
      <c r="H16" s="267"/>
      <c r="I16" s="267"/>
      <c r="J16" s="267"/>
      <c r="K16" s="267"/>
      <c r="L16" s="267"/>
    </row>
    <row r="17" spans="2:13" ht="81.75" customHeight="1" thickBot="1">
      <c r="B17" s="34"/>
      <c r="C17" s="35" t="s">
        <v>2</v>
      </c>
      <c r="D17" s="35" t="s">
        <v>3</v>
      </c>
      <c r="E17" s="35" t="s">
        <v>4</v>
      </c>
      <c r="F17" s="35" t="s">
        <v>17</v>
      </c>
      <c r="G17" s="35" t="s">
        <v>6</v>
      </c>
      <c r="H17" s="35" t="s">
        <v>7</v>
      </c>
      <c r="I17" s="35" t="s">
        <v>8</v>
      </c>
      <c r="J17" s="35" t="s">
        <v>9</v>
      </c>
      <c r="K17" s="35" t="s">
        <v>10</v>
      </c>
      <c r="L17" s="35" t="s">
        <v>11</v>
      </c>
      <c r="M17" s="36" t="s">
        <v>12</v>
      </c>
    </row>
    <row r="18" spans="2:13" s="44" customFormat="1" ht="49.5" customHeight="1" thickBot="1">
      <c r="B18" s="37">
        <v>1</v>
      </c>
      <c r="C18" s="38" t="s">
        <v>32</v>
      </c>
      <c r="D18" s="39" t="s">
        <v>32</v>
      </c>
      <c r="E18" s="39" t="s">
        <v>32</v>
      </c>
      <c r="F18" s="40" t="s">
        <v>32</v>
      </c>
      <c r="G18" s="41" t="s">
        <v>32</v>
      </c>
      <c r="H18" s="38" t="s">
        <v>32</v>
      </c>
      <c r="I18" s="41" t="s">
        <v>32</v>
      </c>
      <c r="J18" s="42" t="s">
        <v>32</v>
      </c>
      <c r="K18" s="61"/>
      <c r="L18" s="27" t="s">
        <v>32</v>
      </c>
      <c r="M18" s="43" t="s">
        <v>32</v>
      </c>
    </row>
    <row r="19" spans="2:13" s="31" customFormat="1" ht="45" customHeight="1" thickBot="1">
      <c r="B19" s="29"/>
      <c r="C19" s="30"/>
      <c r="D19" s="30"/>
      <c r="E19" s="30"/>
      <c r="F19" s="30"/>
      <c r="I19" s="32"/>
      <c r="J19" s="33" t="s">
        <v>20</v>
      </c>
      <c r="K19" s="62">
        <f>SUM(K18)</f>
        <v>0</v>
      </c>
    </row>
    <row r="20" spans="2:13" s="31" customFormat="1" ht="13.5" thickBot="1">
      <c r="B20" s="30"/>
      <c r="C20" s="30"/>
      <c r="D20" s="30"/>
      <c r="E20" s="30"/>
      <c r="F20" s="30"/>
      <c r="G20" s="30"/>
      <c r="H20" s="30"/>
      <c r="I20" s="30"/>
      <c r="J20" s="30"/>
      <c r="K20" s="30"/>
    </row>
    <row r="21" spans="2:13" s="31" customFormat="1" ht="59.25" customHeight="1" thickBot="1">
      <c r="B21" s="30"/>
      <c r="C21" s="30"/>
      <c r="D21" s="30"/>
      <c r="E21" s="30"/>
      <c r="F21" s="30"/>
      <c r="G21" s="30"/>
      <c r="H21" s="30"/>
      <c r="I21" s="30"/>
      <c r="J21" s="45" t="s">
        <v>26</v>
      </c>
      <c r="K21" s="74">
        <f>+K13+K19</f>
        <v>404608923.38999999</v>
      </c>
      <c r="L21" s="46" t="str">
        <f>IF(K21&gt;1.5*461942280,"CUMPLE","NO CUMPLE")</f>
        <v>NO CUMPLE</v>
      </c>
    </row>
    <row r="22" spans="2:13">
      <c r="J22" s="273" t="s">
        <v>34</v>
      </c>
      <c r="K22" s="274"/>
      <c r="L22" s="274"/>
    </row>
    <row r="23" spans="2:13">
      <c r="J23" s="275"/>
      <c r="K23" s="275"/>
      <c r="L23" s="275"/>
    </row>
    <row r="24" spans="2:13">
      <c r="J24" s="275"/>
      <c r="K24" s="275"/>
      <c r="L24" s="275"/>
    </row>
    <row r="25" spans="2:13">
      <c r="J25" s="275"/>
      <c r="K25" s="275"/>
      <c r="L25" s="275"/>
    </row>
  </sheetData>
  <mergeCells count="14">
    <mergeCell ref="B1:L1"/>
    <mergeCell ref="B6:C6"/>
    <mergeCell ref="B7:C7"/>
    <mergeCell ref="D6:M6"/>
    <mergeCell ref="D7:M7"/>
    <mergeCell ref="B2:L2"/>
    <mergeCell ref="B3:L3"/>
    <mergeCell ref="B4:L4"/>
    <mergeCell ref="B9:L9"/>
    <mergeCell ref="I13:J13"/>
    <mergeCell ref="I14:K14"/>
    <mergeCell ref="J22:L25"/>
    <mergeCell ref="M13:N13"/>
    <mergeCell ref="B16:L16"/>
  </mergeCells>
  <pageMargins left="0.74803149606299213" right="0.74803149606299213" top="0.98425196850393704" bottom="0.98425196850393704" header="0.51181102362204722" footer="0.51181102362204722"/>
  <pageSetup scale="3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5"/>
  <sheetViews>
    <sheetView showGridLines="0" topLeftCell="D13" zoomScale="85" zoomScaleNormal="85" zoomScalePageLayoutView="40" workbookViewId="0">
      <selection activeCell="I14" sqref="I14:K14"/>
    </sheetView>
  </sheetViews>
  <sheetFormatPr baseColWidth="10" defaultColWidth="11.42578125" defaultRowHeight="12.75"/>
  <cols>
    <col min="1" max="1" width="6.5703125" customWidth="1"/>
    <col min="2" max="2" width="6" customWidth="1"/>
    <col min="3" max="3" width="37.28515625" customWidth="1"/>
    <col min="4" max="4" width="24.7109375" customWidth="1"/>
    <col min="5" max="5" width="15.7109375" customWidth="1"/>
    <col min="6" max="6" width="28.7109375" customWidth="1"/>
    <col min="7" max="7" width="24.7109375" customWidth="1"/>
    <col min="8" max="8" width="21.42578125" customWidth="1"/>
    <col min="9" max="9" width="23" customWidth="1"/>
    <col min="10" max="10" width="23.5703125" customWidth="1"/>
    <col min="11" max="11" width="29.85546875" customWidth="1"/>
    <col min="12" max="12" width="20.85546875" customWidth="1"/>
    <col min="13" max="14" width="21.5703125" customWidth="1"/>
    <col min="15" max="15" width="21.85546875" customWidth="1"/>
  </cols>
  <sheetData>
    <row r="1" spans="2:14" ht="18.75">
      <c r="B1" s="277" t="s">
        <v>21</v>
      </c>
      <c r="C1" s="278"/>
      <c r="D1" s="278"/>
      <c r="E1" s="278"/>
      <c r="F1" s="278"/>
      <c r="G1" s="278"/>
      <c r="H1" s="278"/>
      <c r="I1" s="278"/>
      <c r="J1" s="278"/>
      <c r="K1" s="278"/>
      <c r="L1" s="278"/>
    </row>
    <row r="2" spans="2:14" ht="59.25" customHeight="1">
      <c r="B2" s="277" t="s">
        <v>22</v>
      </c>
      <c r="C2" s="278"/>
      <c r="D2" s="278"/>
      <c r="E2" s="278"/>
      <c r="F2" s="278"/>
      <c r="G2" s="278"/>
      <c r="H2" s="278"/>
      <c r="I2" s="278"/>
      <c r="J2" s="278"/>
      <c r="K2" s="278"/>
      <c r="L2" s="278"/>
    </row>
    <row r="3" spans="2:14" ht="18.75">
      <c r="B3" s="281" t="s">
        <v>33</v>
      </c>
      <c r="C3" s="281"/>
      <c r="D3" s="281"/>
      <c r="E3" s="281"/>
      <c r="F3" s="281"/>
      <c r="G3" s="281"/>
      <c r="H3" s="281"/>
      <c r="I3" s="281"/>
      <c r="J3" s="281"/>
      <c r="K3" s="281"/>
      <c r="L3" s="281"/>
    </row>
    <row r="4" spans="2:14" ht="18.75">
      <c r="B4" s="281" t="s">
        <v>0</v>
      </c>
      <c r="C4" s="281"/>
      <c r="D4" s="281"/>
      <c r="E4" s="281"/>
      <c r="F4" s="281"/>
      <c r="G4" s="281"/>
      <c r="H4" s="281"/>
      <c r="I4" s="281"/>
      <c r="J4" s="281"/>
      <c r="K4" s="281"/>
      <c r="L4" s="281"/>
    </row>
    <row r="5" spans="2:14" ht="15.75">
      <c r="B5" s="1"/>
      <c r="C5" s="1"/>
      <c r="D5" s="1"/>
      <c r="E5" s="1"/>
      <c r="F5" s="1"/>
      <c r="G5" s="1"/>
      <c r="H5" s="1"/>
      <c r="I5" s="1"/>
      <c r="J5" s="1"/>
      <c r="K5" s="1"/>
      <c r="L5" s="1"/>
    </row>
    <row r="6" spans="2:14" ht="18.75">
      <c r="B6" s="279" t="s">
        <v>23</v>
      </c>
      <c r="C6" s="279"/>
      <c r="D6" s="280" t="s">
        <v>91</v>
      </c>
      <c r="E6" s="280"/>
      <c r="F6" s="280"/>
      <c r="G6" s="280"/>
      <c r="H6" s="280"/>
      <c r="I6" s="280"/>
      <c r="J6" s="280"/>
      <c r="K6" s="280"/>
      <c r="L6" s="280"/>
      <c r="M6" s="280"/>
    </row>
    <row r="7" spans="2:14" ht="18.75">
      <c r="B7" s="279" t="s">
        <v>24</v>
      </c>
      <c r="C7" s="279"/>
      <c r="D7" s="280" t="s">
        <v>91</v>
      </c>
      <c r="E7" s="280"/>
      <c r="F7" s="280"/>
      <c r="G7" s="280"/>
      <c r="H7" s="280"/>
      <c r="I7" s="280"/>
      <c r="J7" s="280"/>
      <c r="K7" s="280"/>
      <c r="L7" s="280"/>
      <c r="M7" s="280"/>
    </row>
    <row r="8" spans="2:14" ht="15.75">
      <c r="B8" s="2"/>
      <c r="C8" s="2"/>
      <c r="D8" s="2"/>
      <c r="E8" s="2"/>
      <c r="F8" s="2"/>
      <c r="G8" s="2"/>
      <c r="H8" s="2"/>
      <c r="I8" s="2"/>
      <c r="J8" s="2"/>
      <c r="K8" s="2"/>
      <c r="L8" s="2"/>
    </row>
    <row r="9" spans="2:14" ht="26.25" customHeight="1" thickBot="1">
      <c r="B9" s="267" t="s">
        <v>1</v>
      </c>
      <c r="C9" s="267"/>
      <c r="D9" s="267"/>
      <c r="E9" s="267"/>
      <c r="F9" s="267"/>
      <c r="G9" s="267"/>
      <c r="H9" s="267"/>
      <c r="I9" s="267"/>
      <c r="J9" s="267"/>
      <c r="K9" s="267"/>
      <c r="L9" s="267"/>
    </row>
    <row r="10" spans="2:14" ht="81" customHeight="1" thickBot="1">
      <c r="B10" s="3"/>
      <c r="C10" s="4" t="s">
        <v>2</v>
      </c>
      <c r="D10" s="4" t="s">
        <v>3</v>
      </c>
      <c r="E10" s="4" t="s">
        <v>4</v>
      </c>
      <c r="F10" s="4" t="s">
        <v>5</v>
      </c>
      <c r="G10" s="4" t="s">
        <v>6</v>
      </c>
      <c r="H10" s="4" t="s">
        <v>7</v>
      </c>
      <c r="I10" s="4" t="s">
        <v>8</v>
      </c>
      <c r="J10" s="4" t="s">
        <v>9</v>
      </c>
      <c r="K10" s="4" t="s">
        <v>10</v>
      </c>
      <c r="L10" s="4" t="s">
        <v>11</v>
      </c>
      <c r="M10" s="5" t="s">
        <v>12</v>
      </c>
    </row>
    <row r="11" spans="2:14" ht="69" customHeight="1">
      <c r="B11" s="6">
        <v>1</v>
      </c>
      <c r="C11" s="207" t="s">
        <v>177</v>
      </c>
      <c r="D11" s="208">
        <v>40944</v>
      </c>
      <c r="E11" s="208">
        <v>41217</v>
      </c>
      <c r="F11" s="194">
        <v>1</v>
      </c>
      <c r="G11" s="116" t="s">
        <v>29</v>
      </c>
      <c r="H11" s="170" t="s">
        <v>30</v>
      </c>
      <c r="I11" s="196" t="s">
        <v>32</v>
      </c>
      <c r="J11" s="69" t="s">
        <v>32</v>
      </c>
      <c r="K11" s="197">
        <v>780910180</v>
      </c>
      <c r="L11" s="68"/>
      <c r="M11" s="59" t="s">
        <v>15</v>
      </c>
    </row>
    <row r="12" spans="2:14" ht="67.5" customHeight="1" thickBot="1">
      <c r="B12" s="8">
        <v>2</v>
      </c>
      <c r="C12" s="207" t="s">
        <v>178</v>
      </c>
      <c r="D12" s="208">
        <v>36173</v>
      </c>
      <c r="E12" s="208">
        <v>40846</v>
      </c>
      <c r="F12" s="194">
        <v>0.33</v>
      </c>
      <c r="G12" s="116" t="s">
        <v>29</v>
      </c>
      <c r="H12" s="170" t="s">
        <v>30</v>
      </c>
      <c r="I12" s="196" t="s">
        <v>32</v>
      </c>
      <c r="J12" s="65" t="s">
        <v>32</v>
      </c>
      <c r="K12" s="197">
        <v>5695891397</v>
      </c>
      <c r="L12" s="63"/>
      <c r="M12" s="58" t="s">
        <v>15</v>
      </c>
    </row>
    <row r="13" spans="2:14" s="31" customFormat="1" ht="59.25" customHeight="1">
      <c r="B13" s="29"/>
      <c r="C13" s="30"/>
      <c r="D13" s="30"/>
      <c r="E13" s="30"/>
      <c r="F13" s="30"/>
      <c r="I13" s="268" t="s">
        <v>16</v>
      </c>
      <c r="J13" s="269"/>
      <c r="K13" s="60">
        <f>SUM(K11:K12)</f>
        <v>6476801577</v>
      </c>
      <c r="M13" s="276"/>
      <c r="N13" s="276"/>
    </row>
    <row r="14" spans="2:14" ht="68.25" customHeight="1" thickBot="1">
      <c r="B14" s="29"/>
      <c r="C14" s="30"/>
      <c r="D14" s="30"/>
      <c r="E14" s="30"/>
      <c r="F14" s="30"/>
      <c r="G14" s="32"/>
      <c r="H14" s="32"/>
      <c r="I14" s="270" t="s">
        <v>35</v>
      </c>
      <c r="J14" s="271"/>
      <c r="K14" s="272"/>
    </row>
    <row r="15" spans="2:14" ht="16.5" customHeight="1"/>
    <row r="16" spans="2:14" ht="16.5" thickBot="1">
      <c r="B16" s="267" t="s">
        <v>36</v>
      </c>
      <c r="C16" s="267"/>
      <c r="D16" s="267"/>
      <c r="E16" s="267"/>
      <c r="F16" s="267"/>
      <c r="G16" s="267"/>
      <c r="H16" s="267"/>
      <c r="I16" s="267"/>
      <c r="J16" s="267"/>
      <c r="K16" s="267"/>
      <c r="L16" s="267"/>
    </row>
    <row r="17" spans="2:13" ht="81.75" customHeight="1" thickBot="1">
      <c r="B17" s="34"/>
      <c r="C17" s="35" t="s">
        <v>2</v>
      </c>
      <c r="D17" s="35" t="s">
        <v>3</v>
      </c>
      <c r="E17" s="35" t="s">
        <v>4</v>
      </c>
      <c r="F17" s="35" t="s">
        <v>17</v>
      </c>
      <c r="G17" s="35" t="s">
        <v>6</v>
      </c>
      <c r="H17" s="35" t="s">
        <v>7</v>
      </c>
      <c r="I17" s="35" t="s">
        <v>8</v>
      </c>
      <c r="J17" s="35" t="s">
        <v>9</v>
      </c>
      <c r="K17" s="35" t="s">
        <v>10</v>
      </c>
      <c r="L17" s="35" t="s">
        <v>11</v>
      </c>
      <c r="M17" s="36" t="s">
        <v>12</v>
      </c>
    </row>
    <row r="18" spans="2:13" s="44" customFormat="1" ht="49.5" customHeight="1" thickBot="1">
      <c r="B18" s="37">
        <v>1</v>
      </c>
      <c r="C18" s="38" t="s">
        <v>32</v>
      </c>
      <c r="D18" s="39" t="s">
        <v>32</v>
      </c>
      <c r="E18" s="39" t="s">
        <v>32</v>
      </c>
      <c r="F18" s="40" t="s">
        <v>32</v>
      </c>
      <c r="G18" s="41" t="s">
        <v>32</v>
      </c>
      <c r="H18" s="38" t="s">
        <v>32</v>
      </c>
      <c r="I18" s="41" t="s">
        <v>32</v>
      </c>
      <c r="J18" s="42" t="s">
        <v>32</v>
      </c>
      <c r="K18" s="61"/>
      <c r="L18" s="27" t="s">
        <v>32</v>
      </c>
      <c r="M18" s="43" t="s">
        <v>32</v>
      </c>
    </row>
    <row r="19" spans="2:13" s="31" customFormat="1" ht="45" customHeight="1" thickBot="1">
      <c r="B19" s="29"/>
      <c r="C19" s="30"/>
      <c r="D19" s="30"/>
      <c r="E19" s="30"/>
      <c r="F19" s="30"/>
      <c r="I19" s="32"/>
      <c r="J19" s="33" t="s">
        <v>20</v>
      </c>
      <c r="K19" s="62">
        <f>SUM(K18)</f>
        <v>0</v>
      </c>
    </row>
    <row r="20" spans="2:13" s="31" customFormat="1" ht="13.5" thickBot="1">
      <c r="B20" s="30"/>
      <c r="C20" s="30"/>
      <c r="D20" s="30"/>
      <c r="E20" s="30"/>
      <c r="F20" s="30"/>
      <c r="G20" s="30"/>
      <c r="H20" s="30"/>
      <c r="I20" s="30"/>
      <c r="J20" s="30"/>
      <c r="K20" s="30"/>
    </row>
    <row r="21" spans="2:13" s="31" customFormat="1" ht="59.25" customHeight="1" thickBot="1">
      <c r="B21" s="30"/>
      <c r="C21" s="30"/>
      <c r="D21" s="30"/>
      <c r="E21" s="30"/>
      <c r="F21" s="30"/>
      <c r="G21" s="30"/>
      <c r="H21" s="30"/>
      <c r="I21" s="30"/>
      <c r="J21" s="45" t="s">
        <v>26</v>
      </c>
      <c r="K21" s="74">
        <f>+K13+K19</f>
        <v>6476801577</v>
      </c>
      <c r="L21" s="46" t="str">
        <f>IF(K21&gt;1.5*461942280,"CUMPLE","NO CUMPLE")</f>
        <v>CUMPLE</v>
      </c>
    </row>
    <row r="22" spans="2:13">
      <c r="J22" s="273" t="s">
        <v>34</v>
      </c>
      <c r="K22" s="274"/>
      <c r="L22" s="274"/>
    </row>
    <row r="23" spans="2:13">
      <c r="J23" s="275"/>
      <c r="K23" s="275"/>
      <c r="L23" s="275"/>
    </row>
    <row r="24" spans="2:13">
      <c r="J24" s="275"/>
      <c r="K24" s="275"/>
      <c r="L24" s="275"/>
    </row>
    <row r="25" spans="2:13">
      <c r="J25" s="275"/>
      <c r="K25" s="275"/>
      <c r="L25" s="275"/>
    </row>
  </sheetData>
  <mergeCells count="14">
    <mergeCell ref="B16:L16"/>
    <mergeCell ref="J22:L25"/>
    <mergeCell ref="B7:C7"/>
    <mergeCell ref="D7:M7"/>
    <mergeCell ref="B9:L9"/>
    <mergeCell ref="I13:J13"/>
    <mergeCell ref="M13:N13"/>
    <mergeCell ref="I14:K14"/>
    <mergeCell ref="B1:L1"/>
    <mergeCell ref="B2:L2"/>
    <mergeCell ref="B3:L3"/>
    <mergeCell ref="B4:L4"/>
    <mergeCell ref="B6:C6"/>
    <mergeCell ref="D6:M6"/>
  </mergeCells>
  <pageMargins left="0.74803149606299213" right="0.74803149606299213" top="0.98425196850393704" bottom="0.98425196850393704" header="0.51181102362204722" footer="0.51181102362204722"/>
  <pageSetup scale="3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6"/>
  <sheetViews>
    <sheetView showGridLines="0" topLeftCell="D18" zoomScale="85" zoomScaleNormal="85" zoomScalePageLayoutView="40" workbookViewId="0">
      <selection activeCell="K21" sqref="K21"/>
    </sheetView>
  </sheetViews>
  <sheetFormatPr baseColWidth="10" defaultColWidth="11.42578125" defaultRowHeight="12.75"/>
  <cols>
    <col min="1" max="1" width="6.5703125" customWidth="1"/>
    <col min="2" max="2" width="6" customWidth="1"/>
    <col min="3" max="3" width="37.28515625" customWidth="1"/>
    <col min="4" max="4" width="24.7109375" customWidth="1"/>
    <col min="5" max="5" width="15.7109375" customWidth="1"/>
    <col min="6" max="6" width="28.7109375" customWidth="1"/>
    <col min="7" max="7" width="24.7109375" customWidth="1"/>
    <col min="8" max="8" width="21.42578125" customWidth="1"/>
    <col min="9" max="9" width="23" customWidth="1"/>
    <col min="10" max="10" width="23.5703125" customWidth="1"/>
    <col min="11" max="11" width="29.85546875" customWidth="1"/>
    <col min="12" max="12" width="20.85546875" customWidth="1"/>
    <col min="13" max="14" width="21.5703125" customWidth="1"/>
    <col min="15" max="15" width="21.85546875" customWidth="1"/>
  </cols>
  <sheetData>
    <row r="1" spans="2:14" ht="18.75">
      <c r="B1" s="277" t="s">
        <v>21</v>
      </c>
      <c r="C1" s="278"/>
      <c r="D1" s="278"/>
      <c r="E1" s="278"/>
      <c r="F1" s="278"/>
      <c r="G1" s="278"/>
      <c r="H1" s="278"/>
      <c r="I1" s="278"/>
      <c r="J1" s="278"/>
      <c r="K1" s="278"/>
      <c r="L1" s="278"/>
    </row>
    <row r="2" spans="2:14" ht="59.25" customHeight="1">
      <c r="B2" s="277" t="s">
        <v>22</v>
      </c>
      <c r="C2" s="278"/>
      <c r="D2" s="278"/>
      <c r="E2" s="278"/>
      <c r="F2" s="278"/>
      <c r="G2" s="278"/>
      <c r="H2" s="278"/>
      <c r="I2" s="278"/>
      <c r="J2" s="278"/>
      <c r="K2" s="278"/>
      <c r="L2" s="278"/>
    </row>
    <row r="3" spans="2:14" ht="18.75">
      <c r="B3" s="281" t="s">
        <v>33</v>
      </c>
      <c r="C3" s="281"/>
      <c r="D3" s="281"/>
      <c r="E3" s="281"/>
      <c r="F3" s="281"/>
      <c r="G3" s="281"/>
      <c r="H3" s="281"/>
      <c r="I3" s="281"/>
      <c r="J3" s="281"/>
      <c r="K3" s="281"/>
      <c r="L3" s="281"/>
    </row>
    <row r="4" spans="2:14" ht="18.75">
      <c r="B4" s="281" t="s">
        <v>0</v>
      </c>
      <c r="C4" s="281"/>
      <c r="D4" s="281"/>
      <c r="E4" s="281"/>
      <c r="F4" s="281"/>
      <c r="G4" s="281"/>
      <c r="H4" s="281"/>
      <c r="I4" s="281"/>
      <c r="J4" s="281"/>
      <c r="K4" s="281"/>
      <c r="L4" s="281"/>
    </row>
    <row r="5" spans="2:14" ht="15.75">
      <c r="B5" s="1"/>
      <c r="C5" s="1"/>
      <c r="D5" s="1"/>
      <c r="E5" s="1"/>
      <c r="F5" s="1"/>
      <c r="G5" s="1"/>
      <c r="H5" s="1"/>
      <c r="I5" s="1"/>
      <c r="J5" s="1"/>
      <c r="K5" s="1"/>
      <c r="L5" s="1"/>
    </row>
    <row r="6" spans="2:14" ht="18.75">
      <c r="B6" s="279" t="s">
        <v>23</v>
      </c>
      <c r="C6" s="279"/>
      <c r="D6" s="280" t="s">
        <v>68</v>
      </c>
      <c r="E6" s="280"/>
      <c r="F6" s="280"/>
      <c r="G6" s="280"/>
      <c r="H6" s="280"/>
      <c r="I6" s="280"/>
      <c r="J6" s="280"/>
      <c r="K6" s="280"/>
      <c r="L6" s="280"/>
      <c r="M6" s="280"/>
    </row>
    <row r="7" spans="2:14" ht="18.75">
      <c r="B7" s="279" t="s">
        <v>24</v>
      </c>
      <c r="C7" s="279"/>
      <c r="D7" s="280" t="s">
        <v>69</v>
      </c>
      <c r="E7" s="280"/>
      <c r="F7" s="280"/>
      <c r="G7" s="280"/>
      <c r="H7" s="280"/>
      <c r="I7" s="280"/>
      <c r="J7" s="280"/>
      <c r="K7" s="280"/>
      <c r="L7" s="280"/>
      <c r="M7" s="280"/>
    </row>
    <row r="8" spans="2:14" ht="15.75">
      <c r="B8" s="2"/>
      <c r="C8" s="2"/>
      <c r="D8" s="2"/>
      <c r="E8" s="2"/>
      <c r="F8" s="2"/>
      <c r="G8" s="2"/>
      <c r="H8" s="2"/>
      <c r="I8" s="2"/>
      <c r="J8" s="2"/>
      <c r="K8" s="2"/>
      <c r="L8" s="2"/>
    </row>
    <row r="9" spans="2:14" ht="26.25" customHeight="1" thickBot="1">
      <c r="B9" s="267" t="s">
        <v>1</v>
      </c>
      <c r="C9" s="267"/>
      <c r="D9" s="267"/>
      <c r="E9" s="267"/>
      <c r="F9" s="267"/>
      <c r="G9" s="267"/>
      <c r="H9" s="267"/>
      <c r="I9" s="267"/>
      <c r="J9" s="267"/>
      <c r="K9" s="267"/>
      <c r="L9" s="267"/>
    </row>
    <row r="10" spans="2:14" ht="81" customHeight="1" thickBot="1">
      <c r="B10" s="3"/>
      <c r="C10" s="4" t="s">
        <v>2</v>
      </c>
      <c r="D10" s="4" t="s">
        <v>3</v>
      </c>
      <c r="E10" s="4" t="s">
        <v>4</v>
      </c>
      <c r="F10" s="4" t="s">
        <v>5</v>
      </c>
      <c r="G10" s="4" t="s">
        <v>6</v>
      </c>
      <c r="H10" s="4" t="s">
        <v>7</v>
      </c>
      <c r="I10" s="4" t="s">
        <v>8</v>
      </c>
      <c r="J10" s="4" t="s">
        <v>9</v>
      </c>
      <c r="K10" s="4" t="s">
        <v>10</v>
      </c>
      <c r="L10" s="4" t="s">
        <v>11</v>
      </c>
      <c r="M10" s="5" t="s">
        <v>12</v>
      </c>
    </row>
    <row r="11" spans="2:14" ht="69" customHeight="1">
      <c r="B11" s="6">
        <v>1</v>
      </c>
      <c r="C11" s="91" t="s">
        <v>71</v>
      </c>
      <c r="D11" s="112">
        <v>39219</v>
      </c>
      <c r="E11" s="112">
        <v>39967</v>
      </c>
      <c r="F11" s="114">
        <v>1</v>
      </c>
      <c r="G11" s="115" t="s">
        <v>13</v>
      </c>
      <c r="H11" s="111" t="s">
        <v>14</v>
      </c>
      <c r="I11" s="108">
        <v>484474.39</v>
      </c>
      <c r="J11" s="69">
        <f>I11*1.3516</f>
        <v>654815.58552399999</v>
      </c>
      <c r="K11" s="73">
        <f>J11*1988.01</f>
        <v>1301779932.1775672</v>
      </c>
      <c r="L11" s="68">
        <f>+K11/98700</f>
        <v>13189.259697847692</v>
      </c>
      <c r="M11" s="59" t="s">
        <v>15</v>
      </c>
    </row>
    <row r="12" spans="2:14" ht="67.5" customHeight="1" thickBot="1">
      <c r="B12" s="8">
        <v>2</v>
      </c>
      <c r="C12" s="91" t="s">
        <v>72</v>
      </c>
      <c r="D12" s="112">
        <v>38740</v>
      </c>
      <c r="E12" s="112">
        <v>39439</v>
      </c>
      <c r="F12" s="114">
        <v>0.5</v>
      </c>
      <c r="G12" s="115" t="s">
        <v>13</v>
      </c>
      <c r="H12" s="111" t="s">
        <v>14</v>
      </c>
      <c r="I12" s="108">
        <v>819354.66</v>
      </c>
      <c r="J12" s="65">
        <f>I12*1.2277</f>
        <v>1005921.7160820001</v>
      </c>
      <c r="K12" s="64">
        <f>J12*2269.41</f>
        <v>2282848801.6936517</v>
      </c>
      <c r="L12" s="63">
        <f>+K12/515000</f>
        <v>4432.7161197934984</v>
      </c>
      <c r="M12" s="58" t="s">
        <v>15</v>
      </c>
    </row>
    <row r="13" spans="2:14" s="31" customFormat="1" ht="59.25" customHeight="1">
      <c r="B13" s="29"/>
      <c r="C13" s="30"/>
      <c r="D13" s="30"/>
      <c r="E13" s="30"/>
      <c r="F13" s="30"/>
      <c r="I13" s="268" t="s">
        <v>16</v>
      </c>
      <c r="J13" s="269"/>
      <c r="K13" s="60">
        <f>SUM(K11:K12)</f>
        <v>3584628733.8712187</v>
      </c>
      <c r="M13" s="276"/>
      <c r="N13" s="276"/>
    </row>
    <row r="14" spans="2:14" ht="68.25" customHeight="1" thickBot="1">
      <c r="B14" s="29"/>
      <c r="C14" s="30"/>
      <c r="D14" s="30"/>
      <c r="E14" s="30"/>
      <c r="F14" s="30"/>
      <c r="G14" s="32"/>
      <c r="H14" s="32"/>
      <c r="I14" s="270" t="s">
        <v>35</v>
      </c>
      <c r="J14" s="271"/>
      <c r="K14" s="272"/>
    </row>
    <row r="15" spans="2:14" ht="16.5" customHeight="1"/>
    <row r="16" spans="2:14" ht="16.5" thickBot="1">
      <c r="B16" s="267" t="s">
        <v>70</v>
      </c>
      <c r="C16" s="267"/>
      <c r="D16" s="267"/>
      <c r="E16" s="267"/>
      <c r="F16" s="267"/>
      <c r="G16" s="267"/>
      <c r="H16" s="267"/>
      <c r="I16" s="267"/>
      <c r="J16" s="267"/>
      <c r="K16" s="267"/>
      <c r="L16" s="267"/>
    </row>
    <row r="17" spans="2:13" ht="81.75" customHeight="1" thickBot="1">
      <c r="B17" s="34"/>
      <c r="C17" s="35" t="s">
        <v>2</v>
      </c>
      <c r="D17" s="35" t="s">
        <v>3</v>
      </c>
      <c r="E17" s="35" t="s">
        <v>4</v>
      </c>
      <c r="F17" s="35" t="s">
        <v>17</v>
      </c>
      <c r="G17" s="35" t="s">
        <v>6</v>
      </c>
      <c r="H17" s="35" t="s">
        <v>7</v>
      </c>
      <c r="I17" s="35" t="s">
        <v>8</v>
      </c>
      <c r="J17" s="35" t="s">
        <v>9</v>
      </c>
      <c r="K17" s="35" t="s">
        <v>10</v>
      </c>
      <c r="L17" s="35" t="s">
        <v>11</v>
      </c>
      <c r="M17" s="36" t="s">
        <v>12</v>
      </c>
    </row>
    <row r="18" spans="2:13" s="44" customFormat="1" ht="84" customHeight="1" thickBot="1">
      <c r="B18" s="37">
        <v>1</v>
      </c>
      <c r="C18" s="104" t="s">
        <v>73</v>
      </c>
      <c r="D18" s="50">
        <v>35796</v>
      </c>
      <c r="E18" s="50">
        <v>35870</v>
      </c>
      <c r="F18" s="48">
        <v>1</v>
      </c>
      <c r="G18" s="116" t="s">
        <v>29</v>
      </c>
      <c r="H18" s="111" t="s">
        <v>30</v>
      </c>
      <c r="I18" s="41" t="s">
        <v>32</v>
      </c>
      <c r="J18" s="42" t="s">
        <v>32</v>
      </c>
      <c r="K18" s="55">
        <v>38793103</v>
      </c>
      <c r="L18" s="27">
        <f>K18/203826</f>
        <v>190.32460530059953</v>
      </c>
      <c r="M18" s="58" t="s">
        <v>15</v>
      </c>
    </row>
    <row r="19" spans="2:13" s="44" customFormat="1" ht="120.75" customHeight="1" thickBot="1">
      <c r="B19" s="37">
        <v>1</v>
      </c>
      <c r="C19" s="104" t="s">
        <v>74</v>
      </c>
      <c r="D19" s="50">
        <v>37473</v>
      </c>
      <c r="E19" s="50">
        <v>37935</v>
      </c>
      <c r="F19" s="48">
        <v>1</v>
      </c>
      <c r="G19" s="116" t="s">
        <v>29</v>
      </c>
      <c r="H19" s="104" t="s">
        <v>75</v>
      </c>
      <c r="I19" s="41" t="s">
        <v>32</v>
      </c>
      <c r="J19" s="42" t="s">
        <v>32</v>
      </c>
      <c r="K19" s="55">
        <v>149860400</v>
      </c>
      <c r="L19" s="27">
        <f>K19/309000</f>
        <v>484.98511326860842</v>
      </c>
      <c r="M19" s="58" t="s">
        <v>15</v>
      </c>
    </row>
    <row r="20" spans="2:13" s="31" customFormat="1" ht="45" customHeight="1" thickBot="1">
      <c r="B20" s="29"/>
      <c r="C20" s="30"/>
      <c r="D20" s="30"/>
      <c r="E20" s="30"/>
      <c r="F20" s="30"/>
      <c r="I20" s="32"/>
      <c r="J20" s="33" t="s">
        <v>20</v>
      </c>
      <c r="K20" s="62">
        <f>SUM(K19)</f>
        <v>149860400</v>
      </c>
    </row>
    <row r="21" spans="2:13" s="31" customFormat="1" ht="13.5" thickBot="1">
      <c r="B21" s="30"/>
      <c r="C21" s="30"/>
      <c r="D21" s="30"/>
      <c r="E21" s="30"/>
      <c r="F21" s="30"/>
      <c r="G21" s="30"/>
      <c r="H21" s="30"/>
      <c r="I21" s="30"/>
      <c r="J21" s="30"/>
      <c r="K21" s="30"/>
    </row>
    <row r="22" spans="2:13" s="31" customFormat="1" ht="59.25" customHeight="1" thickBot="1">
      <c r="B22" s="30"/>
      <c r="C22" s="30"/>
      <c r="D22" s="30"/>
      <c r="E22" s="30"/>
      <c r="F22" s="30"/>
      <c r="G22" s="30"/>
      <c r="H22" s="30"/>
      <c r="I22" s="30"/>
      <c r="J22" s="45" t="s">
        <v>26</v>
      </c>
      <c r="K22" s="74">
        <f>+K13+K20</f>
        <v>3734489133.8712187</v>
      </c>
      <c r="L22" s="46" t="str">
        <f>IF(K22&gt;1.5*461942280,"CUMPLE","NO CUMPLE")</f>
        <v>CUMPLE</v>
      </c>
    </row>
    <row r="23" spans="2:13">
      <c r="J23" s="273" t="s">
        <v>34</v>
      </c>
      <c r="K23" s="274"/>
      <c r="L23" s="274"/>
    </row>
    <row r="24" spans="2:13">
      <c r="J24" s="275"/>
      <c r="K24" s="275"/>
      <c r="L24" s="275"/>
    </row>
    <row r="25" spans="2:13">
      <c r="J25" s="275"/>
      <c r="K25" s="275"/>
      <c r="L25" s="275"/>
    </row>
    <row r="26" spans="2:13">
      <c r="J26" s="275"/>
      <c r="K26" s="275"/>
      <c r="L26" s="275"/>
    </row>
  </sheetData>
  <mergeCells count="14">
    <mergeCell ref="B16:L16"/>
    <mergeCell ref="J23:L26"/>
    <mergeCell ref="B7:C7"/>
    <mergeCell ref="D7:M7"/>
    <mergeCell ref="B9:L9"/>
    <mergeCell ref="I13:J13"/>
    <mergeCell ref="M13:N13"/>
    <mergeCell ref="I14:K14"/>
    <mergeCell ref="B1:L1"/>
    <mergeCell ref="B2:L2"/>
    <mergeCell ref="B3:L3"/>
    <mergeCell ref="B4:L4"/>
    <mergeCell ref="B6:C6"/>
    <mergeCell ref="D6:M6"/>
  </mergeCells>
  <pageMargins left="0.74803149606299213" right="0.74803149606299213" top="0.98425196850393704" bottom="0.98425196850393704" header="0.51181102362204722" footer="0.51181102362204722"/>
  <pageSetup scale="3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27"/>
  <sheetViews>
    <sheetView tabSelected="1" workbookViewId="0">
      <selection activeCell="F15" sqref="F15"/>
    </sheetView>
  </sheetViews>
  <sheetFormatPr baseColWidth="10" defaultRowHeight="12.75"/>
  <cols>
    <col min="1" max="1" width="14.140625" style="119" customWidth="1"/>
    <col min="2" max="2" width="44.140625" style="119" customWidth="1"/>
    <col min="3" max="6" width="11.42578125" style="119"/>
    <col min="7" max="7" width="13.28515625" style="119" customWidth="1"/>
    <col min="8" max="8" width="51.85546875" style="119" customWidth="1"/>
    <col min="9" max="16384" width="11.42578125" style="119"/>
  </cols>
  <sheetData>
    <row r="1" spans="1:8" ht="15.75">
      <c r="A1" s="297" t="s">
        <v>76</v>
      </c>
      <c r="B1" s="297"/>
      <c r="C1" s="297"/>
      <c r="D1" s="297"/>
      <c r="E1" s="297"/>
      <c r="F1" s="297"/>
      <c r="G1" s="297"/>
      <c r="H1" s="297"/>
    </row>
    <row r="2" spans="1:8">
      <c r="A2" s="119" t="s">
        <v>77</v>
      </c>
    </row>
    <row r="3" spans="1:8" ht="59.25" customHeight="1">
      <c r="A3" s="298" t="s">
        <v>22</v>
      </c>
      <c r="B3" s="298"/>
      <c r="C3" s="298"/>
      <c r="D3" s="298"/>
      <c r="E3" s="298"/>
      <c r="F3" s="298"/>
      <c r="G3" s="298"/>
      <c r="H3" s="298"/>
    </row>
    <row r="4" spans="1:8" ht="15.75">
      <c r="A4" s="297" t="s">
        <v>21</v>
      </c>
      <c r="B4" s="297"/>
      <c r="C4" s="297"/>
      <c r="D4" s="297"/>
      <c r="E4" s="297"/>
      <c r="F4" s="297"/>
      <c r="G4" s="297"/>
      <c r="H4" s="297"/>
    </row>
    <row r="5" spans="1:8">
      <c r="A5" s="299"/>
      <c r="B5" s="299"/>
      <c r="C5" s="299"/>
      <c r="D5" s="299"/>
      <c r="E5" s="299"/>
      <c r="F5" s="299"/>
      <c r="G5" s="299"/>
      <c r="H5" s="299"/>
    </row>
    <row r="6" spans="1:8">
      <c r="A6" s="300" t="s">
        <v>78</v>
      </c>
      <c r="B6" s="300"/>
      <c r="C6" s="300"/>
      <c r="D6" s="300"/>
      <c r="E6" s="300"/>
      <c r="F6" s="300"/>
      <c r="G6" s="300"/>
      <c r="H6" s="300"/>
    </row>
    <row r="7" spans="1:8" ht="13.5" thickBot="1"/>
    <row r="8" spans="1:8" ht="38.25" customHeight="1">
      <c r="A8" s="291" t="s">
        <v>79</v>
      </c>
      <c r="B8" s="293" t="s">
        <v>80</v>
      </c>
      <c r="C8" s="293" t="s">
        <v>81</v>
      </c>
      <c r="D8" s="293"/>
      <c r="E8" s="293"/>
      <c r="F8" s="293"/>
      <c r="G8" s="243"/>
      <c r="H8" s="295" t="s">
        <v>82</v>
      </c>
    </row>
    <row r="9" spans="1:8" ht="13.5" thickBot="1">
      <c r="A9" s="292"/>
      <c r="B9" s="294"/>
      <c r="C9" s="244" t="s">
        <v>83</v>
      </c>
      <c r="D9" s="244" t="s">
        <v>84</v>
      </c>
      <c r="E9" s="244" t="s">
        <v>85</v>
      </c>
      <c r="F9" s="244" t="s">
        <v>99</v>
      </c>
      <c r="G9" s="245" t="s">
        <v>100</v>
      </c>
      <c r="H9" s="296"/>
    </row>
    <row r="10" spans="1:8" ht="13.5" thickBot="1"/>
    <row r="11" spans="1:8" ht="27" customHeight="1">
      <c r="A11" s="246">
        <v>1</v>
      </c>
      <c r="B11" s="90" t="s">
        <v>25</v>
      </c>
      <c r="C11" s="247" t="s">
        <v>19</v>
      </c>
      <c r="D11" s="247" t="s">
        <v>19</v>
      </c>
      <c r="E11" s="247" t="s">
        <v>32</v>
      </c>
      <c r="F11" s="247" t="s">
        <v>101</v>
      </c>
      <c r="G11" s="248" t="s">
        <v>102</v>
      </c>
      <c r="H11" s="249" t="s">
        <v>220</v>
      </c>
    </row>
    <row r="12" spans="1:8" ht="27" customHeight="1">
      <c r="A12" s="250">
        <v>2</v>
      </c>
      <c r="B12" s="89" t="s">
        <v>87</v>
      </c>
      <c r="C12" s="251" t="s">
        <v>19</v>
      </c>
      <c r="D12" s="251" t="s">
        <v>19</v>
      </c>
      <c r="E12" s="251" t="s">
        <v>32</v>
      </c>
      <c r="F12" s="251" t="s">
        <v>19</v>
      </c>
      <c r="G12" s="252" t="s">
        <v>86</v>
      </c>
      <c r="H12" s="253"/>
    </row>
    <row r="13" spans="1:8" ht="27" customHeight="1">
      <c r="A13" s="250">
        <v>3</v>
      </c>
      <c r="B13" s="89" t="s">
        <v>88</v>
      </c>
      <c r="C13" s="251" t="s">
        <v>19</v>
      </c>
      <c r="D13" s="251" t="s">
        <v>19</v>
      </c>
      <c r="E13" s="251" t="s">
        <v>32</v>
      </c>
      <c r="F13" s="251" t="s">
        <v>19</v>
      </c>
      <c r="G13" s="252" t="s">
        <v>86</v>
      </c>
      <c r="H13" s="253"/>
    </row>
    <row r="14" spans="1:8" ht="27" customHeight="1">
      <c r="A14" s="250">
        <v>4</v>
      </c>
      <c r="B14" s="89" t="s">
        <v>37</v>
      </c>
      <c r="C14" s="251" t="s">
        <v>19</v>
      </c>
      <c r="D14" s="251" t="s">
        <v>19</v>
      </c>
      <c r="E14" s="251" t="s">
        <v>19</v>
      </c>
      <c r="F14" s="251" t="s">
        <v>19</v>
      </c>
      <c r="G14" s="252" t="s">
        <v>86</v>
      </c>
      <c r="H14" s="253"/>
    </row>
    <row r="15" spans="1:8" ht="27" customHeight="1" thickBot="1">
      <c r="A15" s="250">
        <v>5</v>
      </c>
      <c r="B15" s="89" t="s">
        <v>47</v>
      </c>
      <c r="C15" s="251" t="s">
        <v>19</v>
      </c>
      <c r="D15" s="251" t="s">
        <v>19</v>
      </c>
      <c r="E15" s="251" t="s">
        <v>32</v>
      </c>
      <c r="F15" s="251" t="s">
        <v>19</v>
      </c>
      <c r="G15" s="252" t="s">
        <v>86</v>
      </c>
      <c r="H15" s="253"/>
    </row>
    <row r="16" spans="1:8" ht="63" customHeight="1">
      <c r="A16" s="250">
        <v>6</v>
      </c>
      <c r="B16" s="89" t="s">
        <v>55</v>
      </c>
      <c r="C16" s="251" t="s">
        <v>19</v>
      </c>
      <c r="D16" s="251" t="s">
        <v>19</v>
      </c>
      <c r="E16" s="251" t="s">
        <v>32</v>
      </c>
      <c r="F16" s="251" t="s">
        <v>101</v>
      </c>
      <c r="G16" s="254" t="s">
        <v>102</v>
      </c>
      <c r="H16" s="249" t="s">
        <v>227</v>
      </c>
    </row>
    <row r="17" spans="1:8" ht="27" customHeight="1">
      <c r="A17" s="250">
        <v>7</v>
      </c>
      <c r="B17" s="89" t="s">
        <v>89</v>
      </c>
      <c r="C17" s="251" t="s">
        <v>19</v>
      </c>
      <c r="D17" s="251" t="s">
        <v>19</v>
      </c>
      <c r="E17" s="251" t="s">
        <v>32</v>
      </c>
      <c r="F17" s="251" t="s">
        <v>19</v>
      </c>
      <c r="G17" s="252" t="s">
        <v>86</v>
      </c>
      <c r="H17" s="255"/>
    </row>
    <row r="18" spans="1:8" ht="63.75" customHeight="1">
      <c r="A18" s="250">
        <v>8</v>
      </c>
      <c r="B18" s="89" t="s">
        <v>90</v>
      </c>
      <c r="C18" s="251" t="s">
        <v>19</v>
      </c>
      <c r="D18" s="251" t="s">
        <v>19</v>
      </c>
      <c r="E18" s="251" t="s">
        <v>101</v>
      </c>
      <c r="F18" s="251" t="s">
        <v>19</v>
      </c>
      <c r="G18" s="254" t="s">
        <v>102</v>
      </c>
      <c r="H18" s="265" t="s">
        <v>225</v>
      </c>
    </row>
    <row r="19" spans="1:8" ht="27" customHeight="1">
      <c r="A19" s="250">
        <v>9</v>
      </c>
      <c r="B19" s="89" t="s">
        <v>60</v>
      </c>
      <c r="C19" s="251" t="s">
        <v>19</v>
      </c>
      <c r="D19" s="251" t="s">
        <v>19</v>
      </c>
      <c r="E19" s="251" t="s">
        <v>32</v>
      </c>
      <c r="F19" s="251" t="s">
        <v>19</v>
      </c>
      <c r="G19" s="252" t="s">
        <v>86</v>
      </c>
      <c r="H19" s="255"/>
    </row>
    <row r="20" spans="1:8" ht="27" customHeight="1">
      <c r="A20" s="250">
        <v>10</v>
      </c>
      <c r="B20" s="89" t="s">
        <v>91</v>
      </c>
      <c r="C20" s="251" t="s">
        <v>19</v>
      </c>
      <c r="D20" s="251" t="s">
        <v>19</v>
      </c>
      <c r="E20" s="251" t="s">
        <v>32</v>
      </c>
      <c r="F20" s="251" t="s">
        <v>19</v>
      </c>
      <c r="G20" s="252" t="s">
        <v>86</v>
      </c>
      <c r="H20" s="255"/>
    </row>
    <row r="21" spans="1:8" ht="27" customHeight="1" thickBot="1">
      <c r="A21" s="256">
        <v>11</v>
      </c>
      <c r="B21" s="109" t="s">
        <v>68</v>
      </c>
      <c r="C21" s="257" t="s">
        <v>19</v>
      </c>
      <c r="D21" s="257" t="s">
        <v>19</v>
      </c>
      <c r="E21" s="257" t="s">
        <v>19</v>
      </c>
      <c r="F21" s="257" t="s">
        <v>19</v>
      </c>
      <c r="G21" s="258" t="s">
        <v>86</v>
      </c>
      <c r="H21" s="259"/>
    </row>
    <row r="24" spans="1:8" ht="15.75">
      <c r="A24" s="167" t="s">
        <v>92</v>
      </c>
      <c r="B24" s="167" t="s">
        <v>93</v>
      </c>
      <c r="C24" s="166"/>
    </row>
    <row r="25" spans="1:8" ht="15.75">
      <c r="A25" s="167" t="s">
        <v>94</v>
      </c>
      <c r="B25" s="167" t="s">
        <v>95</v>
      </c>
      <c r="C25" s="166"/>
    </row>
    <row r="26" spans="1:8" ht="15.75">
      <c r="A26" s="167" t="s">
        <v>96</v>
      </c>
      <c r="B26" s="167" t="s">
        <v>213</v>
      </c>
      <c r="C26" s="166"/>
    </row>
    <row r="27" spans="1:8" ht="15.75">
      <c r="A27" s="167" t="s">
        <v>97</v>
      </c>
      <c r="B27" s="167" t="s">
        <v>98</v>
      </c>
      <c r="C27" s="166"/>
    </row>
  </sheetData>
  <mergeCells count="9">
    <mergeCell ref="A8:A9"/>
    <mergeCell ref="B8:B9"/>
    <mergeCell ref="C8:F8"/>
    <mergeCell ref="H8:H9"/>
    <mergeCell ref="A1:H1"/>
    <mergeCell ref="A3:H3"/>
    <mergeCell ref="A4:H4"/>
    <mergeCell ref="A5:H5"/>
    <mergeCell ref="A6:H6"/>
  </mergeCells>
  <pageMargins left="0.70866141732283472" right="0.70866141732283472" top="0.74803149606299213" bottom="0.74803149606299213" header="0.31496062992125984" footer="0.31496062992125984"/>
  <pageSetup scale="8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N22"/>
  <sheetViews>
    <sheetView topLeftCell="A13" zoomScale="85" zoomScaleNormal="85" workbookViewId="0">
      <selection activeCell="H14" sqref="H14"/>
    </sheetView>
  </sheetViews>
  <sheetFormatPr baseColWidth="10" defaultRowHeight="12.75"/>
  <cols>
    <col min="2" max="2" width="4" customWidth="1"/>
    <col min="3" max="3" width="32.7109375" customWidth="1"/>
    <col min="4" max="4" width="47.28515625" customWidth="1"/>
    <col min="5" max="5" width="23.28515625" customWidth="1"/>
    <col min="6" max="6" width="21.7109375" customWidth="1"/>
    <col min="7" max="7" width="17.28515625" customWidth="1"/>
    <col min="8" max="8" width="17.85546875" customWidth="1"/>
    <col min="9" max="9" width="17.42578125" customWidth="1"/>
    <col min="10" max="11" width="15.42578125" customWidth="1"/>
    <col min="12" max="12" width="18.28515625" customWidth="1"/>
    <col min="13" max="13" width="19.42578125" customWidth="1"/>
    <col min="14" max="14" width="16.5703125" customWidth="1"/>
  </cols>
  <sheetData>
    <row r="3" spans="2:14" ht="18.75">
      <c r="B3" s="277" t="s">
        <v>21</v>
      </c>
      <c r="C3" s="277"/>
      <c r="D3" s="277"/>
      <c r="E3" s="277"/>
      <c r="F3" s="277"/>
      <c r="G3" s="277"/>
      <c r="H3" s="277"/>
      <c r="I3" s="277"/>
      <c r="J3" s="277"/>
      <c r="K3" s="277"/>
      <c r="L3" s="277"/>
      <c r="M3" s="277"/>
      <c r="N3" s="277"/>
    </row>
    <row r="4" spans="2:14" ht="49.5" customHeight="1">
      <c r="B4" s="277" t="s">
        <v>22</v>
      </c>
      <c r="C4" s="277"/>
      <c r="D4" s="277"/>
      <c r="E4" s="277"/>
      <c r="F4" s="277"/>
      <c r="G4" s="277"/>
      <c r="H4" s="277"/>
      <c r="I4" s="277"/>
      <c r="J4" s="277"/>
      <c r="K4" s="277"/>
      <c r="L4" s="277"/>
      <c r="M4" s="277"/>
      <c r="N4" s="277"/>
    </row>
    <row r="5" spans="2:14" ht="18.75">
      <c r="B5" s="288" t="s">
        <v>109</v>
      </c>
      <c r="C5" s="288"/>
      <c r="D5" s="288"/>
      <c r="E5" s="288"/>
      <c r="F5" s="288"/>
      <c r="G5" s="288"/>
      <c r="H5" s="288"/>
      <c r="I5" s="288"/>
      <c r="J5" s="288"/>
      <c r="K5" s="288"/>
      <c r="L5" s="288"/>
      <c r="M5" s="288"/>
      <c r="N5" s="288"/>
    </row>
    <row r="6" spans="2:14" ht="18.75">
      <c r="B6" s="288" t="s">
        <v>103</v>
      </c>
      <c r="C6" s="288"/>
      <c r="D6" s="288"/>
      <c r="E6" s="288"/>
      <c r="F6" s="288"/>
      <c r="G6" s="288"/>
      <c r="H6" s="288"/>
      <c r="I6" s="288"/>
      <c r="J6" s="288"/>
      <c r="K6" s="288"/>
      <c r="L6" s="288"/>
      <c r="M6" s="288"/>
      <c r="N6" s="288"/>
    </row>
    <row r="7" spans="2:14" ht="18.75">
      <c r="B7" s="120"/>
      <c r="C7" s="120"/>
      <c r="D7" s="120"/>
      <c r="E7" s="120"/>
      <c r="F7" s="120"/>
      <c r="G7" s="120"/>
      <c r="H7" s="120"/>
      <c r="I7" s="119"/>
      <c r="J7" s="119"/>
      <c r="K7" s="119"/>
      <c r="L7" s="119"/>
      <c r="M7" s="119"/>
      <c r="N7" s="119"/>
    </row>
    <row r="8" spans="2:14" ht="15.75">
      <c r="B8" s="1"/>
      <c r="C8" s="1"/>
      <c r="D8" s="1"/>
      <c r="E8" s="1"/>
      <c r="F8" s="1"/>
      <c r="G8" s="1"/>
      <c r="H8" s="1"/>
      <c r="I8" s="119"/>
      <c r="J8" s="119"/>
      <c r="K8" s="119"/>
      <c r="L8" s="119"/>
      <c r="M8" s="119"/>
      <c r="N8" s="119"/>
    </row>
    <row r="9" spans="2:14" ht="15.75">
      <c r="B9" s="119"/>
      <c r="C9" s="280" t="s">
        <v>116</v>
      </c>
      <c r="D9" s="280"/>
      <c r="E9" s="280"/>
      <c r="F9" s="280"/>
      <c r="G9" s="280"/>
      <c r="H9" s="280"/>
      <c r="I9" s="280"/>
      <c r="J9" s="280"/>
      <c r="K9" s="280"/>
      <c r="L9" s="280"/>
      <c r="M9" s="280"/>
      <c r="N9" s="119"/>
    </row>
    <row r="10" spans="2:14" ht="15.75">
      <c r="B10" s="119"/>
      <c r="C10" s="280" t="s">
        <v>117</v>
      </c>
      <c r="D10" s="280"/>
      <c r="E10" s="280"/>
      <c r="F10" s="280"/>
      <c r="G10" s="280"/>
      <c r="H10" s="280"/>
      <c r="I10" s="280"/>
      <c r="J10" s="280"/>
      <c r="K10" s="280"/>
      <c r="L10" s="280"/>
      <c r="M10" s="280"/>
      <c r="N10" s="119"/>
    </row>
    <row r="11" spans="2:14" ht="15.75">
      <c r="B11" s="2"/>
      <c r="C11" s="2"/>
      <c r="D11" s="2"/>
      <c r="E11" s="2"/>
      <c r="F11" s="2"/>
      <c r="G11" s="2"/>
      <c r="H11" s="2"/>
      <c r="I11" s="119"/>
      <c r="J11" s="119"/>
      <c r="K11" s="119"/>
      <c r="L11" s="119"/>
      <c r="M11" s="119"/>
      <c r="N11" s="119"/>
    </row>
    <row r="12" spans="2:14" ht="15.75">
      <c r="B12" s="2"/>
      <c r="C12" s="2"/>
      <c r="D12" s="2"/>
      <c r="E12" s="2"/>
      <c r="F12" s="2"/>
      <c r="G12" s="2"/>
      <c r="H12" s="2"/>
      <c r="I12" s="119"/>
      <c r="J12" s="119"/>
      <c r="K12" s="119"/>
      <c r="L12" s="119"/>
      <c r="M12" s="119"/>
      <c r="N12" s="119"/>
    </row>
    <row r="13" spans="2:14" ht="16.5" thickBot="1">
      <c r="B13" s="267"/>
      <c r="C13" s="267"/>
      <c r="D13" s="267"/>
      <c r="E13" s="267"/>
      <c r="F13" s="267"/>
      <c r="G13" s="267"/>
      <c r="H13" s="267"/>
      <c r="I13" s="119"/>
      <c r="J13" s="119"/>
      <c r="K13" s="119"/>
      <c r="L13" s="119"/>
      <c r="M13" s="119"/>
      <c r="N13" s="119"/>
    </row>
    <row r="14" spans="2:14" ht="105.75" customHeight="1">
      <c r="B14" s="77"/>
      <c r="C14" s="78" t="s">
        <v>104</v>
      </c>
      <c r="D14" s="78" t="s">
        <v>2</v>
      </c>
      <c r="E14" s="78" t="s">
        <v>105</v>
      </c>
      <c r="F14" s="78" t="s">
        <v>17</v>
      </c>
      <c r="G14" s="78" t="s">
        <v>3</v>
      </c>
      <c r="H14" s="78" t="s">
        <v>4</v>
      </c>
      <c r="I14" s="78" t="s">
        <v>6</v>
      </c>
      <c r="J14" s="78" t="s">
        <v>7</v>
      </c>
      <c r="K14" s="78" t="s">
        <v>127</v>
      </c>
      <c r="L14" s="78" t="s">
        <v>126</v>
      </c>
      <c r="M14" s="78" t="s">
        <v>125</v>
      </c>
      <c r="N14" s="79" t="s">
        <v>106</v>
      </c>
    </row>
    <row r="15" spans="2:14" ht="72" customHeight="1">
      <c r="B15" s="127">
        <v>1</v>
      </c>
      <c r="C15" s="156" t="s">
        <v>110</v>
      </c>
      <c r="D15" s="150" t="s">
        <v>111</v>
      </c>
      <c r="E15" s="149">
        <v>219995678.38999999</v>
      </c>
      <c r="F15" s="154">
        <v>1</v>
      </c>
      <c r="G15" s="153" t="s">
        <v>118</v>
      </c>
      <c r="H15" s="153" t="s">
        <v>119</v>
      </c>
      <c r="I15" s="129" t="s">
        <v>29</v>
      </c>
      <c r="J15" s="155" t="s">
        <v>30</v>
      </c>
      <c r="K15" s="111" t="s">
        <v>107</v>
      </c>
      <c r="L15" s="111" t="s">
        <v>107</v>
      </c>
      <c r="M15" s="146" t="s">
        <v>107</v>
      </c>
      <c r="N15" s="130" t="s">
        <v>107</v>
      </c>
    </row>
    <row r="16" spans="2:14" ht="72.75" customHeight="1">
      <c r="B16" s="127">
        <v>2</v>
      </c>
      <c r="C16" s="156" t="s">
        <v>110</v>
      </c>
      <c r="D16" s="150" t="s">
        <v>112</v>
      </c>
      <c r="E16" s="149">
        <v>417650000</v>
      </c>
      <c r="F16" s="154">
        <v>0.5</v>
      </c>
      <c r="G16" s="153" t="s">
        <v>120</v>
      </c>
      <c r="H16" s="153" t="s">
        <v>121</v>
      </c>
      <c r="I16" s="129" t="s">
        <v>29</v>
      </c>
      <c r="J16" s="155" t="s">
        <v>58</v>
      </c>
      <c r="K16" s="111" t="s">
        <v>107</v>
      </c>
      <c r="L16" s="111" t="s">
        <v>107</v>
      </c>
      <c r="M16" s="111"/>
      <c r="N16" s="130" t="s">
        <v>107</v>
      </c>
    </row>
    <row r="17" spans="2:14" ht="72" customHeight="1" thickBot="1">
      <c r="B17" s="131">
        <v>3</v>
      </c>
      <c r="C17" s="158" t="s">
        <v>110</v>
      </c>
      <c r="D17" s="143" t="s">
        <v>113</v>
      </c>
      <c r="E17" s="142">
        <v>184613245</v>
      </c>
      <c r="F17" s="84">
        <v>1</v>
      </c>
      <c r="G17" s="147" t="s">
        <v>122</v>
      </c>
      <c r="H17" s="147" t="s">
        <v>123</v>
      </c>
      <c r="I17" s="132" t="s">
        <v>29</v>
      </c>
      <c r="J17" s="145" t="s">
        <v>31</v>
      </c>
      <c r="K17" s="133" t="s">
        <v>107</v>
      </c>
      <c r="L17" s="133" t="s">
        <v>107</v>
      </c>
      <c r="M17" s="133"/>
      <c r="N17" s="134" t="s">
        <v>107</v>
      </c>
    </row>
    <row r="18" spans="2:14" ht="15.75" thickBot="1">
      <c r="B18" s="135"/>
      <c r="C18" s="136"/>
      <c r="D18" s="136"/>
      <c r="E18" s="209"/>
      <c r="F18" s="136"/>
      <c r="G18" s="136"/>
      <c r="H18" s="136"/>
      <c r="I18" s="137"/>
      <c r="J18" s="137"/>
      <c r="K18" s="137"/>
      <c r="L18" s="137"/>
      <c r="M18" s="137"/>
      <c r="N18" s="137"/>
    </row>
    <row r="19" spans="2:14" ht="19.5" thickBot="1">
      <c r="B19" s="138"/>
      <c r="C19" s="138"/>
      <c r="D19" s="138"/>
      <c r="E19" s="136"/>
      <c r="F19" s="136"/>
      <c r="G19" s="136"/>
      <c r="H19" s="136"/>
      <c r="I19" s="137"/>
      <c r="J19" s="301" t="s">
        <v>108</v>
      </c>
      <c r="K19" s="302"/>
      <c r="L19" s="303" t="s">
        <v>223</v>
      </c>
      <c r="M19" s="304"/>
      <c r="N19" s="305"/>
    </row>
    <row r="21" spans="2:14">
      <c r="C21" s="88" t="s">
        <v>114</v>
      </c>
    </row>
    <row r="22" spans="2:14" ht="21" customHeight="1">
      <c r="C22" s="148" t="s">
        <v>124</v>
      </c>
    </row>
  </sheetData>
  <mergeCells count="9">
    <mergeCell ref="B3:N3"/>
    <mergeCell ref="B5:N5"/>
    <mergeCell ref="J19:K19"/>
    <mergeCell ref="L19:N19"/>
    <mergeCell ref="B13:H13"/>
    <mergeCell ref="C9:M9"/>
    <mergeCell ref="C10:M10"/>
    <mergeCell ref="B4:N4"/>
    <mergeCell ref="B6:N6"/>
  </mergeCells>
  <pageMargins left="0.70866141732283472" right="0.70866141732283472" top="0.74803149606299213" bottom="0.74803149606299213" header="0.31496062992125984" footer="0.31496062992125984"/>
  <pageSetup scale="44" orientation="landscape"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P24"/>
  <sheetViews>
    <sheetView topLeftCell="E11" zoomScale="85" zoomScaleNormal="85" workbookViewId="0">
      <selection activeCell="L21" sqref="L21:N21"/>
    </sheetView>
  </sheetViews>
  <sheetFormatPr baseColWidth="10" defaultRowHeight="12.75"/>
  <cols>
    <col min="2" max="2" width="4" customWidth="1"/>
    <col min="3" max="3" width="32.7109375" customWidth="1"/>
    <col min="4" max="4" width="47.28515625" customWidth="1"/>
    <col min="5" max="5" width="23.28515625" customWidth="1"/>
    <col min="6" max="6" width="21.7109375" customWidth="1"/>
    <col min="7" max="7" width="17.28515625" customWidth="1"/>
    <col min="8" max="8" width="17.85546875" customWidth="1"/>
    <col min="9" max="9" width="17.42578125" customWidth="1"/>
    <col min="10" max="11" width="15.42578125" customWidth="1"/>
    <col min="12" max="12" width="18.28515625" customWidth="1"/>
    <col min="13" max="13" width="19.42578125" customWidth="1"/>
    <col min="14" max="14" width="16.5703125" customWidth="1"/>
  </cols>
  <sheetData>
    <row r="3" spans="2:14" ht="18.75">
      <c r="B3" s="277" t="s">
        <v>21</v>
      </c>
      <c r="C3" s="277"/>
      <c r="D3" s="277"/>
      <c r="E3" s="277"/>
      <c r="F3" s="277"/>
      <c r="G3" s="277"/>
      <c r="H3" s="277"/>
      <c r="I3" s="277"/>
      <c r="J3" s="277"/>
      <c r="K3" s="277"/>
      <c r="L3" s="277"/>
      <c r="M3" s="277"/>
      <c r="N3" s="277"/>
    </row>
    <row r="4" spans="2:14" ht="49.5" customHeight="1">
      <c r="B4" s="277" t="s">
        <v>22</v>
      </c>
      <c r="C4" s="277"/>
      <c r="D4" s="277"/>
      <c r="E4" s="277"/>
      <c r="F4" s="277"/>
      <c r="G4" s="277"/>
      <c r="H4" s="277"/>
      <c r="I4" s="277"/>
      <c r="J4" s="277"/>
      <c r="K4" s="277"/>
      <c r="L4" s="277"/>
      <c r="M4" s="277"/>
      <c r="N4" s="277"/>
    </row>
    <row r="5" spans="2:14" ht="18.75">
      <c r="B5" s="288" t="s">
        <v>109</v>
      </c>
      <c r="C5" s="288"/>
      <c r="D5" s="288"/>
      <c r="E5" s="288"/>
      <c r="F5" s="288"/>
      <c r="G5" s="288"/>
      <c r="H5" s="288"/>
      <c r="I5" s="288"/>
      <c r="J5" s="288"/>
      <c r="K5" s="288"/>
      <c r="L5" s="288"/>
      <c r="M5" s="288"/>
      <c r="N5" s="288"/>
    </row>
    <row r="6" spans="2:14" ht="18.75">
      <c r="B6" s="288" t="s">
        <v>103</v>
      </c>
      <c r="C6" s="288"/>
      <c r="D6" s="288"/>
      <c r="E6" s="288"/>
      <c r="F6" s="288"/>
      <c r="G6" s="288"/>
      <c r="H6" s="288"/>
      <c r="I6" s="288"/>
      <c r="J6" s="288"/>
      <c r="K6" s="288"/>
      <c r="L6" s="288"/>
      <c r="M6" s="288"/>
      <c r="N6" s="288"/>
    </row>
    <row r="7" spans="2:14" ht="18.75">
      <c r="B7" s="120"/>
      <c r="C7" s="120"/>
      <c r="D7" s="120"/>
      <c r="E7" s="120"/>
      <c r="F7" s="120"/>
      <c r="G7" s="120"/>
      <c r="H7" s="120"/>
      <c r="I7" s="119"/>
      <c r="J7" s="119"/>
      <c r="K7" s="119"/>
      <c r="L7" s="119"/>
      <c r="M7" s="119"/>
      <c r="N7" s="119"/>
    </row>
    <row r="8" spans="2:14" ht="15.75">
      <c r="B8" s="1"/>
      <c r="C8" s="1"/>
      <c r="D8" s="1"/>
      <c r="E8" s="1"/>
      <c r="F8" s="1"/>
      <c r="G8" s="1"/>
      <c r="H8" s="1"/>
      <c r="I8" s="119"/>
      <c r="J8" s="119"/>
      <c r="K8" s="119"/>
      <c r="L8" s="119"/>
      <c r="M8" s="119"/>
      <c r="N8" s="119"/>
    </row>
    <row r="9" spans="2:14" ht="15.75">
      <c r="B9" s="119"/>
      <c r="C9" s="280" t="s">
        <v>158</v>
      </c>
      <c r="D9" s="280"/>
      <c r="E9" s="280"/>
      <c r="F9" s="280"/>
      <c r="G9" s="280"/>
      <c r="H9" s="280"/>
      <c r="I9" s="280"/>
      <c r="J9" s="280"/>
      <c r="K9" s="280"/>
      <c r="L9" s="280"/>
      <c r="M9" s="280"/>
      <c r="N9" s="119"/>
    </row>
    <row r="10" spans="2:14" ht="15.75">
      <c r="B10" s="119"/>
      <c r="C10" s="280" t="s">
        <v>159</v>
      </c>
      <c r="D10" s="280"/>
      <c r="E10" s="280"/>
      <c r="F10" s="280"/>
      <c r="G10" s="280"/>
      <c r="H10" s="280"/>
      <c r="I10" s="280"/>
      <c r="J10" s="280"/>
      <c r="K10" s="280"/>
      <c r="L10" s="280"/>
      <c r="M10" s="280"/>
      <c r="N10" s="119"/>
    </row>
    <row r="11" spans="2:14" ht="15.75">
      <c r="B11" s="2"/>
      <c r="C11" s="2"/>
      <c r="D11" s="2"/>
      <c r="E11" s="2"/>
      <c r="F11" s="2"/>
      <c r="G11" s="2"/>
      <c r="H11" s="2"/>
      <c r="I11" s="119"/>
      <c r="J11" s="119"/>
      <c r="K11" s="119"/>
      <c r="L11" s="119"/>
      <c r="M11" s="119"/>
      <c r="N11" s="119"/>
    </row>
    <row r="12" spans="2:14" ht="15.75">
      <c r="B12" s="2"/>
      <c r="C12" s="2"/>
      <c r="D12" s="2"/>
      <c r="E12" s="2"/>
      <c r="F12" s="2"/>
      <c r="G12" s="2"/>
      <c r="H12" s="2"/>
      <c r="I12" s="119"/>
      <c r="J12" s="119"/>
      <c r="K12" s="119"/>
      <c r="L12" s="119"/>
      <c r="M12" s="119"/>
      <c r="N12" s="119"/>
    </row>
    <row r="13" spans="2:14" ht="16.5" thickBot="1">
      <c r="B13" s="267"/>
      <c r="C13" s="267"/>
      <c r="D13" s="267"/>
      <c r="E13" s="267"/>
      <c r="F13" s="267"/>
      <c r="G13" s="267"/>
      <c r="H13" s="267"/>
      <c r="I13" s="119"/>
      <c r="J13" s="119"/>
      <c r="K13" s="119"/>
      <c r="L13" s="119"/>
      <c r="M13" s="119"/>
      <c r="N13" s="119"/>
    </row>
    <row r="14" spans="2:14" ht="105.75" customHeight="1" thickBot="1">
      <c r="B14" s="121"/>
      <c r="C14" s="122" t="s">
        <v>104</v>
      </c>
      <c r="D14" s="122" t="s">
        <v>2</v>
      </c>
      <c r="E14" s="122" t="s">
        <v>105</v>
      </c>
      <c r="F14" s="122" t="s">
        <v>17</v>
      </c>
      <c r="G14" s="122" t="s">
        <v>3</v>
      </c>
      <c r="H14" s="122" t="s">
        <v>4</v>
      </c>
      <c r="I14" s="122" t="s">
        <v>6</v>
      </c>
      <c r="J14" s="122" t="s">
        <v>7</v>
      </c>
      <c r="K14" s="122" t="s">
        <v>127</v>
      </c>
      <c r="L14" s="122" t="s">
        <v>126</v>
      </c>
      <c r="M14" s="122" t="s">
        <v>125</v>
      </c>
      <c r="N14" s="123" t="s">
        <v>106</v>
      </c>
    </row>
    <row r="15" spans="2:14" ht="116.25" customHeight="1">
      <c r="B15" s="118">
        <v>1</v>
      </c>
      <c r="C15" s="173" t="s">
        <v>87</v>
      </c>
      <c r="D15" s="174" t="s">
        <v>160</v>
      </c>
      <c r="E15" s="175">
        <f>1838226462*80%</f>
        <v>1470581169.6000001</v>
      </c>
      <c r="F15" s="176">
        <v>0.8</v>
      </c>
      <c r="G15" s="177">
        <v>39888</v>
      </c>
      <c r="H15" s="177">
        <v>40268</v>
      </c>
      <c r="I15" s="116" t="s">
        <v>18</v>
      </c>
      <c r="J15" s="178" t="s">
        <v>161</v>
      </c>
      <c r="K15" s="125" t="s">
        <v>107</v>
      </c>
      <c r="L15" s="125" t="s">
        <v>107</v>
      </c>
      <c r="M15" s="139" t="s">
        <v>107</v>
      </c>
      <c r="N15" s="126" t="s">
        <v>107</v>
      </c>
    </row>
    <row r="16" spans="2:14" ht="72.75" customHeight="1">
      <c r="B16" s="127">
        <v>2</v>
      </c>
      <c r="C16" s="184" t="s">
        <v>87</v>
      </c>
      <c r="D16" s="185" t="s">
        <v>162</v>
      </c>
      <c r="E16" s="187">
        <v>229625932</v>
      </c>
      <c r="F16" s="188">
        <v>0.375</v>
      </c>
      <c r="G16" s="189">
        <v>36717</v>
      </c>
      <c r="H16" s="189">
        <v>37036</v>
      </c>
      <c r="I16" s="190" t="s">
        <v>18</v>
      </c>
      <c r="J16" s="191" t="s">
        <v>53</v>
      </c>
      <c r="K16" s="111" t="s">
        <v>107</v>
      </c>
      <c r="L16" s="111" t="s">
        <v>107</v>
      </c>
      <c r="M16" s="111"/>
      <c r="N16" s="130"/>
    </row>
    <row r="17" spans="2:16" ht="72" customHeight="1">
      <c r="B17" s="127">
        <v>3</v>
      </c>
      <c r="C17" s="184" t="s">
        <v>87</v>
      </c>
      <c r="D17" s="185" t="s">
        <v>163</v>
      </c>
      <c r="E17" s="187" t="s">
        <v>166</v>
      </c>
      <c r="F17" s="188">
        <v>0.5</v>
      </c>
      <c r="G17" s="189">
        <v>35952</v>
      </c>
      <c r="H17" s="189">
        <v>36094</v>
      </c>
      <c r="I17" s="190" t="s">
        <v>18</v>
      </c>
      <c r="J17" s="191" t="s">
        <v>53</v>
      </c>
      <c r="K17" s="111" t="s">
        <v>107</v>
      </c>
      <c r="L17" s="111" t="s">
        <v>107</v>
      </c>
      <c r="M17" s="111"/>
      <c r="N17" s="130"/>
    </row>
    <row r="18" spans="2:16" ht="72" customHeight="1">
      <c r="B18" s="127">
        <v>4</v>
      </c>
      <c r="C18" s="184" t="s">
        <v>87</v>
      </c>
      <c r="D18" s="185" t="s">
        <v>164</v>
      </c>
      <c r="E18" s="187">
        <v>74621585</v>
      </c>
      <c r="F18" s="188">
        <v>1</v>
      </c>
      <c r="G18" s="189">
        <v>38819</v>
      </c>
      <c r="H18" s="189">
        <v>39578</v>
      </c>
      <c r="I18" s="190" t="s">
        <v>18</v>
      </c>
      <c r="J18" s="191" t="s">
        <v>53</v>
      </c>
      <c r="K18" s="111" t="s">
        <v>107</v>
      </c>
      <c r="L18" s="111" t="s">
        <v>107</v>
      </c>
      <c r="M18" s="111"/>
      <c r="N18" s="130"/>
      <c r="O18" s="308" t="s">
        <v>167</v>
      </c>
      <c r="P18" s="309"/>
    </row>
    <row r="19" spans="2:16" ht="72" customHeight="1" thickBot="1">
      <c r="B19" s="131">
        <v>5</v>
      </c>
      <c r="C19" s="186" t="s">
        <v>87</v>
      </c>
      <c r="D19" s="185" t="s">
        <v>165</v>
      </c>
      <c r="E19" s="187">
        <v>184590915</v>
      </c>
      <c r="F19" s="188">
        <v>0.1</v>
      </c>
      <c r="G19" s="189">
        <v>36353</v>
      </c>
      <c r="H19" s="189">
        <v>36851</v>
      </c>
      <c r="I19" s="192" t="s">
        <v>18</v>
      </c>
      <c r="J19" s="191" t="s">
        <v>53</v>
      </c>
      <c r="K19" s="133" t="s">
        <v>107</v>
      </c>
      <c r="L19" s="133" t="s">
        <v>107</v>
      </c>
      <c r="M19" s="133"/>
      <c r="N19" s="134"/>
      <c r="O19" s="306" t="s">
        <v>168</v>
      </c>
      <c r="P19" s="307"/>
    </row>
    <row r="20" spans="2:16" ht="15.75" thickBot="1">
      <c r="B20" s="135"/>
      <c r="C20" s="136"/>
      <c r="D20" s="136"/>
      <c r="E20" s="136"/>
      <c r="F20" s="136"/>
      <c r="G20" s="136"/>
      <c r="H20" s="136"/>
      <c r="I20" s="137"/>
      <c r="J20" s="137"/>
      <c r="K20" s="137"/>
      <c r="L20" s="137"/>
      <c r="M20" s="137"/>
      <c r="N20" s="137"/>
    </row>
    <row r="21" spans="2:16" ht="19.5" thickBot="1">
      <c r="B21" s="138"/>
      <c r="C21" s="138"/>
      <c r="D21" s="138"/>
      <c r="E21" s="136"/>
      <c r="F21" s="136"/>
      <c r="G21" s="136"/>
      <c r="H21" s="136"/>
      <c r="I21" s="137"/>
      <c r="J21" s="301" t="s">
        <v>108</v>
      </c>
      <c r="K21" s="302"/>
      <c r="L21" s="303">
        <v>900</v>
      </c>
      <c r="M21" s="304"/>
      <c r="N21" s="305"/>
    </row>
    <row r="23" spans="2:16">
      <c r="C23" s="88" t="s">
        <v>114</v>
      </c>
    </row>
    <row r="24" spans="2:16" ht="21" customHeight="1">
      <c r="C24" s="148" t="s">
        <v>124</v>
      </c>
    </row>
  </sheetData>
  <mergeCells count="11">
    <mergeCell ref="B3:N3"/>
    <mergeCell ref="B4:N4"/>
    <mergeCell ref="B5:N5"/>
    <mergeCell ref="B6:N6"/>
    <mergeCell ref="C9:M9"/>
    <mergeCell ref="O19:P19"/>
    <mergeCell ref="B13:H13"/>
    <mergeCell ref="J21:K21"/>
    <mergeCell ref="L21:N21"/>
    <mergeCell ref="C10:M10"/>
    <mergeCell ref="O18:P18"/>
  </mergeCells>
  <pageMargins left="0.70866141732283472" right="0.70866141732283472" top="0.74803149606299213" bottom="0.74803149606299213" header="0.31496062992125984" footer="0.31496062992125984"/>
  <pageSetup scale="44"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N22"/>
  <sheetViews>
    <sheetView topLeftCell="E13" zoomScale="85" zoomScaleNormal="85" workbookViewId="0">
      <selection activeCell="M23" sqref="M23"/>
    </sheetView>
  </sheetViews>
  <sheetFormatPr baseColWidth="10" defaultRowHeight="12.75"/>
  <cols>
    <col min="2" max="2" width="4" customWidth="1"/>
    <col min="3" max="3" width="32.7109375" customWidth="1"/>
    <col min="4" max="4" width="47.28515625" customWidth="1"/>
    <col min="5" max="5" width="23.28515625" customWidth="1"/>
    <col min="6" max="6" width="26.7109375" customWidth="1"/>
    <col min="7" max="7" width="17.28515625" customWidth="1"/>
    <col min="8" max="8" width="17.85546875" customWidth="1"/>
    <col min="9" max="9" width="17.42578125" customWidth="1"/>
    <col min="10" max="11" width="15.42578125" customWidth="1"/>
    <col min="12" max="12" width="18.28515625" customWidth="1"/>
    <col min="13" max="13" width="19.42578125" customWidth="1"/>
    <col min="14" max="14" width="16.5703125" customWidth="1"/>
  </cols>
  <sheetData>
    <row r="3" spans="2:14" ht="18.75">
      <c r="B3" s="277" t="s">
        <v>21</v>
      </c>
      <c r="C3" s="277"/>
      <c r="D3" s="277"/>
      <c r="E3" s="277"/>
      <c r="F3" s="277"/>
      <c r="G3" s="277"/>
      <c r="H3" s="277"/>
      <c r="I3" s="277"/>
      <c r="J3" s="277"/>
      <c r="K3" s="277"/>
      <c r="L3" s="277"/>
      <c r="M3" s="277"/>
      <c r="N3" s="277"/>
    </row>
    <row r="4" spans="2:14" ht="49.5" customHeight="1">
      <c r="B4" s="277" t="s">
        <v>22</v>
      </c>
      <c r="C4" s="277"/>
      <c r="D4" s="277"/>
      <c r="E4" s="277"/>
      <c r="F4" s="277"/>
      <c r="G4" s="277"/>
      <c r="H4" s="277"/>
      <c r="I4" s="277"/>
      <c r="J4" s="277"/>
      <c r="K4" s="277"/>
      <c r="L4" s="277"/>
      <c r="M4" s="277"/>
      <c r="N4" s="277"/>
    </row>
    <row r="5" spans="2:14" ht="18.75">
      <c r="B5" s="288" t="s">
        <v>109</v>
      </c>
      <c r="C5" s="288"/>
      <c r="D5" s="288"/>
      <c r="E5" s="288"/>
      <c r="F5" s="288"/>
      <c r="G5" s="288"/>
      <c r="H5" s="288"/>
      <c r="I5" s="288"/>
      <c r="J5" s="288"/>
      <c r="K5" s="288"/>
      <c r="L5" s="288"/>
      <c r="M5" s="288"/>
      <c r="N5" s="288"/>
    </row>
    <row r="6" spans="2:14" ht="18.75">
      <c r="B6" s="288" t="s">
        <v>103</v>
      </c>
      <c r="C6" s="288"/>
      <c r="D6" s="288"/>
      <c r="E6" s="288"/>
      <c r="F6" s="288"/>
      <c r="G6" s="288"/>
      <c r="H6" s="288"/>
      <c r="I6" s="288"/>
      <c r="J6" s="288"/>
      <c r="K6" s="288"/>
      <c r="L6" s="288"/>
      <c r="M6" s="288"/>
      <c r="N6" s="288"/>
    </row>
    <row r="7" spans="2:14" ht="18.75">
      <c r="B7" s="120"/>
      <c r="C7" s="120"/>
      <c r="D7" s="120"/>
      <c r="E7" s="120"/>
      <c r="F7" s="120"/>
      <c r="G7" s="120"/>
      <c r="H7" s="120"/>
      <c r="I7" s="119"/>
      <c r="J7" s="119"/>
      <c r="K7" s="119"/>
      <c r="L7" s="119"/>
      <c r="M7" s="119"/>
      <c r="N7" s="119"/>
    </row>
    <row r="8" spans="2:14" ht="15.75">
      <c r="B8" s="1"/>
      <c r="C8" s="1"/>
      <c r="D8" s="1"/>
      <c r="E8" s="1"/>
      <c r="F8" s="1"/>
      <c r="G8" s="1"/>
      <c r="H8" s="1"/>
      <c r="I8" s="119"/>
      <c r="J8" s="119"/>
      <c r="K8" s="119"/>
      <c r="L8" s="119"/>
      <c r="M8" s="119"/>
      <c r="N8" s="119"/>
    </row>
    <row r="9" spans="2:14" ht="15.75">
      <c r="B9" s="119"/>
      <c r="C9" s="280" t="s">
        <v>169</v>
      </c>
      <c r="D9" s="280"/>
      <c r="E9" s="280"/>
      <c r="F9" s="280"/>
      <c r="G9" s="280"/>
      <c r="H9" s="280"/>
      <c r="I9" s="280"/>
      <c r="J9" s="280"/>
      <c r="K9" s="280"/>
      <c r="L9" s="280"/>
      <c r="M9" s="280"/>
      <c r="N9" s="119"/>
    </row>
    <row r="10" spans="2:14" ht="15.75">
      <c r="B10" s="119"/>
      <c r="C10" s="280" t="s">
        <v>170</v>
      </c>
      <c r="D10" s="280"/>
      <c r="E10" s="280"/>
      <c r="F10" s="280"/>
      <c r="G10" s="280"/>
      <c r="H10" s="280"/>
      <c r="I10" s="280"/>
      <c r="J10" s="280"/>
      <c r="K10" s="280"/>
      <c r="L10" s="280"/>
      <c r="M10" s="280"/>
      <c r="N10" s="119"/>
    </row>
    <row r="11" spans="2:14" ht="15.75">
      <c r="B11" s="2"/>
      <c r="C11" s="2"/>
      <c r="D11" s="2"/>
      <c r="E11" s="2"/>
      <c r="F11" s="2"/>
      <c r="G11" s="2"/>
      <c r="H11" s="2"/>
      <c r="I11" s="119"/>
      <c r="J11" s="119"/>
      <c r="K11" s="119"/>
      <c r="L11" s="119"/>
      <c r="M11" s="119"/>
      <c r="N11" s="119"/>
    </row>
    <row r="12" spans="2:14" ht="15.75">
      <c r="B12" s="2"/>
      <c r="C12" s="2"/>
      <c r="D12" s="2"/>
      <c r="E12" s="2"/>
      <c r="F12" s="2"/>
      <c r="G12" s="2"/>
      <c r="H12" s="2"/>
      <c r="I12" s="119"/>
      <c r="J12" s="119"/>
      <c r="K12" s="119"/>
      <c r="L12" s="119"/>
      <c r="M12" s="119"/>
      <c r="N12" s="119"/>
    </row>
    <row r="13" spans="2:14" ht="16.5" thickBot="1">
      <c r="B13" s="267"/>
      <c r="C13" s="267"/>
      <c r="D13" s="267"/>
      <c r="E13" s="267"/>
      <c r="F13" s="267"/>
      <c r="G13" s="267"/>
      <c r="H13" s="267"/>
      <c r="I13" s="119"/>
      <c r="J13" s="119"/>
      <c r="K13" s="119"/>
      <c r="L13" s="119"/>
      <c r="M13" s="119"/>
      <c r="N13" s="119"/>
    </row>
    <row r="14" spans="2:14" ht="105.75" customHeight="1">
      <c r="B14" s="77"/>
      <c r="C14" s="78" t="s">
        <v>104</v>
      </c>
      <c r="D14" s="78" t="s">
        <v>2</v>
      </c>
      <c r="E14" s="78" t="s">
        <v>105</v>
      </c>
      <c r="F14" s="78" t="s">
        <v>17</v>
      </c>
      <c r="G14" s="78" t="s">
        <v>3</v>
      </c>
      <c r="H14" s="78" t="s">
        <v>4</v>
      </c>
      <c r="I14" s="78" t="s">
        <v>6</v>
      </c>
      <c r="J14" s="78" t="s">
        <v>7</v>
      </c>
      <c r="K14" s="78" t="s">
        <v>127</v>
      </c>
      <c r="L14" s="78" t="s">
        <v>126</v>
      </c>
      <c r="M14" s="78" t="s">
        <v>125</v>
      </c>
      <c r="N14" s="79" t="s">
        <v>106</v>
      </c>
    </row>
    <row r="15" spans="2:14" ht="72" customHeight="1">
      <c r="B15" s="127">
        <v>1</v>
      </c>
      <c r="C15" s="203" t="s">
        <v>174</v>
      </c>
      <c r="D15" s="198" t="s">
        <v>172</v>
      </c>
      <c r="E15" s="199">
        <v>901041252</v>
      </c>
      <c r="F15" s="200">
        <v>1</v>
      </c>
      <c r="G15" s="204">
        <v>39409</v>
      </c>
      <c r="H15" s="205">
        <v>39619</v>
      </c>
      <c r="I15" s="201" t="s">
        <v>29</v>
      </c>
      <c r="J15" s="201" t="s">
        <v>30</v>
      </c>
      <c r="K15" s="111" t="s">
        <v>107</v>
      </c>
      <c r="L15" s="111" t="s">
        <v>107</v>
      </c>
      <c r="M15" s="146" t="s">
        <v>107</v>
      </c>
      <c r="N15" s="130" t="s">
        <v>107</v>
      </c>
    </row>
    <row r="16" spans="2:14" ht="72.75" customHeight="1">
      <c r="B16" s="127">
        <v>2</v>
      </c>
      <c r="C16" s="203" t="s">
        <v>174</v>
      </c>
      <c r="D16" s="198" t="s">
        <v>173</v>
      </c>
      <c r="E16" s="199">
        <v>34528000</v>
      </c>
      <c r="F16" s="206" t="s">
        <v>175</v>
      </c>
      <c r="G16" s="204">
        <v>36724</v>
      </c>
      <c r="H16" s="204">
        <v>36847</v>
      </c>
      <c r="I16" s="201" t="s">
        <v>29</v>
      </c>
      <c r="J16" s="201" t="s">
        <v>53</v>
      </c>
      <c r="K16" s="111" t="s">
        <v>107</v>
      </c>
      <c r="L16" s="111" t="s">
        <v>107</v>
      </c>
      <c r="M16" s="111"/>
      <c r="N16" s="130" t="s">
        <v>107</v>
      </c>
    </row>
    <row r="17" spans="2:14" ht="72" customHeight="1" thickBot="1">
      <c r="B17" s="131">
        <v>3</v>
      </c>
      <c r="C17" s="203" t="s">
        <v>174</v>
      </c>
      <c r="D17" s="202" t="s">
        <v>183</v>
      </c>
      <c r="E17" s="199">
        <v>154100000</v>
      </c>
      <c r="F17" s="206" t="s">
        <v>176</v>
      </c>
      <c r="G17" s="204">
        <v>36731</v>
      </c>
      <c r="H17" s="204">
        <v>36853</v>
      </c>
      <c r="I17" s="201" t="s">
        <v>29</v>
      </c>
      <c r="J17" s="201" t="s">
        <v>53</v>
      </c>
      <c r="K17" s="133" t="s">
        <v>107</v>
      </c>
      <c r="L17" s="133" t="s">
        <v>107</v>
      </c>
      <c r="M17" s="133"/>
      <c r="N17" s="134" t="s">
        <v>107</v>
      </c>
    </row>
    <row r="18" spans="2:14" ht="15.75" thickBot="1">
      <c r="B18" s="135"/>
      <c r="C18" s="136"/>
      <c r="D18" s="136"/>
      <c r="E18" s="136"/>
      <c r="F18" s="136"/>
      <c r="G18" s="136"/>
      <c r="H18" s="136"/>
      <c r="I18" s="137"/>
      <c r="J18" s="137"/>
      <c r="K18" s="137"/>
      <c r="L18" s="137"/>
      <c r="M18" s="137"/>
      <c r="N18" s="137"/>
    </row>
    <row r="19" spans="2:14" ht="19.5" thickBot="1">
      <c r="B19" s="138"/>
      <c r="C19" s="138"/>
      <c r="D19" s="138"/>
      <c r="E19" s="136"/>
      <c r="F19" s="136"/>
      <c r="G19" s="136"/>
      <c r="H19" s="136"/>
      <c r="I19" s="137"/>
      <c r="J19" s="301" t="s">
        <v>108</v>
      </c>
      <c r="K19" s="302"/>
      <c r="L19" s="303">
        <v>900</v>
      </c>
      <c r="M19" s="304"/>
      <c r="N19" s="305"/>
    </row>
    <row r="21" spans="2:14">
      <c r="C21" s="88" t="s">
        <v>114</v>
      </c>
    </row>
    <row r="22" spans="2:14" ht="21" customHeight="1">
      <c r="C22" s="148" t="s">
        <v>124</v>
      </c>
    </row>
  </sheetData>
  <mergeCells count="9">
    <mergeCell ref="B13:H13"/>
    <mergeCell ref="J19:K19"/>
    <mergeCell ref="L19:N19"/>
    <mergeCell ref="B3:N3"/>
    <mergeCell ref="B4:N4"/>
    <mergeCell ref="B5:N5"/>
    <mergeCell ref="B6:N6"/>
    <mergeCell ref="C9:M9"/>
    <mergeCell ref="C10:M10"/>
  </mergeCells>
  <pageMargins left="0.70866141732283472" right="0.70866141732283472" top="0.74803149606299213" bottom="0.74803149606299213" header="0.31496062992125984" footer="0.31496062992125984"/>
  <pageSetup scale="44" orientation="landscape"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N22"/>
  <sheetViews>
    <sheetView topLeftCell="E12" zoomScale="85" zoomScaleNormal="85" workbookViewId="0">
      <selection activeCell="M22" sqref="M22"/>
    </sheetView>
  </sheetViews>
  <sheetFormatPr baseColWidth="10" defaultRowHeight="12.75"/>
  <cols>
    <col min="2" max="2" width="4" customWidth="1"/>
    <col min="3" max="3" width="32.7109375" customWidth="1"/>
    <col min="4" max="4" width="47.28515625" customWidth="1"/>
    <col min="5" max="5" width="23.28515625" customWidth="1"/>
    <col min="6" max="6" width="21.7109375" customWidth="1"/>
    <col min="7" max="7" width="17.28515625" customWidth="1"/>
    <col min="8" max="8" width="17.85546875" customWidth="1"/>
    <col min="9" max="9" width="17.42578125" customWidth="1"/>
    <col min="10" max="11" width="15.42578125" customWidth="1"/>
    <col min="12" max="12" width="18.28515625" customWidth="1"/>
    <col min="13" max="13" width="19.42578125" customWidth="1"/>
    <col min="14" max="14" width="16.5703125" customWidth="1"/>
  </cols>
  <sheetData>
    <row r="3" spans="2:14" ht="18.75">
      <c r="B3" s="277" t="s">
        <v>21</v>
      </c>
      <c r="C3" s="277"/>
      <c r="D3" s="277"/>
      <c r="E3" s="277"/>
      <c r="F3" s="277"/>
      <c r="G3" s="277"/>
      <c r="H3" s="277"/>
      <c r="I3" s="277"/>
      <c r="J3" s="277"/>
      <c r="K3" s="277"/>
      <c r="L3" s="277"/>
      <c r="M3" s="277"/>
      <c r="N3" s="277"/>
    </row>
    <row r="4" spans="2:14" ht="49.5" customHeight="1">
      <c r="B4" s="277" t="s">
        <v>22</v>
      </c>
      <c r="C4" s="277"/>
      <c r="D4" s="277"/>
      <c r="E4" s="277"/>
      <c r="F4" s="277"/>
      <c r="G4" s="277"/>
      <c r="H4" s="277"/>
      <c r="I4" s="277"/>
      <c r="J4" s="277"/>
      <c r="K4" s="277"/>
      <c r="L4" s="277"/>
      <c r="M4" s="277"/>
      <c r="N4" s="277"/>
    </row>
    <row r="5" spans="2:14" ht="18.75">
      <c r="B5" s="288" t="s">
        <v>109</v>
      </c>
      <c r="C5" s="288"/>
      <c r="D5" s="288"/>
      <c r="E5" s="288"/>
      <c r="F5" s="288"/>
      <c r="G5" s="288"/>
      <c r="H5" s="288"/>
      <c r="I5" s="288"/>
      <c r="J5" s="288"/>
      <c r="K5" s="288"/>
      <c r="L5" s="288"/>
      <c r="M5" s="288"/>
      <c r="N5" s="288"/>
    </row>
    <row r="6" spans="2:14" ht="18.75">
      <c r="B6" s="288" t="s">
        <v>103</v>
      </c>
      <c r="C6" s="288"/>
      <c r="D6" s="288"/>
      <c r="E6" s="288"/>
      <c r="F6" s="288"/>
      <c r="G6" s="288"/>
      <c r="H6" s="288"/>
      <c r="I6" s="288"/>
      <c r="J6" s="288"/>
      <c r="K6" s="288"/>
      <c r="L6" s="288"/>
      <c r="M6" s="288"/>
      <c r="N6" s="288"/>
    </row>
    <row r="7" spans="2:14" ht="18.75">
      <c r="B7" s="120"/>
      <c r="C7" s="120"/>
      <c r="D7" s="120"/>
      <c r="E7" s="120"/>
      <c r="F7" s="120"/>
      <c r="G7" s="120"/>
      <c r="H7" s="120"/>
      <c r="I7" s="119"/>
      <c r="J7" s="119"/>
      <c r="K7" s="119"/>
      <c r="L7" s="119"/>
      <c r="M7" s="119"/>
      <c r="N7" s="119"/>
    </row>
    <row r="8" spans="2:14" ht="15.75">
      <c r="B8" s="1"/>
      <c r="C8" s="1"/>
      <c r="D8" s="1"/>
      <c r="E8" s="1"/>
      <c r="F8" s="1"/>
      <c r="G8" s="1"/>
      <c r="H8" s="1"/>
      <c r="I8" s="119"/>
      <c r="J8" s="119"/>
      <c r="K8" s="119"/>
      <c r="L8" s="119"/>
      <c r="M8" s="119"/>
      <c r="N8" s="119"/>
    </row>
    <row r="9" spans="2:14" ht="15.75">
      <c r="B9" s="119"/>
      <c r="C9" s="280" t="s">
        <v>128</v>
      </c>
      <c r="D9" s="280"/>
      <c r="E9" s="280"/>
      <c r="F9" s="280"/>
      <c r="G9" s="280"/>
      <c r="H9" s="280"/>
      <c r="I9" s="280"/>
      <c r="J9" s="280"/>
      <c r="K9" s="280"/>
      <c r="L9" s="280"/>
      <c r="M9" s="280"/>
      <c r="N9" s="119"/>
    </row>
    <row r="10" spans="2:14" ht="15.75">
      <c r="B10" s="119"/>
      <c r="C10" s="280" t="s">
        <v>129</v>
      </c>
      <c r="D10" s="280"/>
      <c r="E10" s="280"/>
      <c r="F10" s="280"/>
      <c r="G10" s="280"/>
      <c r="H10" s="280"/>
      <c r="I10" s="280"/>
      <c r="J10" s="280"/>
      <c r="K10" s="280"/>
      <c r="L10" s="280"/>
      <c r="M10" s="280"/>
      <c r="N10" s="119"/>
    </row>
    <row r="11" spans="2:14" ht="15.75">
      <c r="B11" s="2"/>
      <c r="C11" s="2"/>
      <c r="D11" s="2"/>
      <c r="E11" s="2"/>
      <c r="F11" s="2"/>
      <c r="G11" s="2"/>
      <c r="H11" s="2"/>
      <c r="I11" s="119"/>
      <c r="J11" s="119"/>
      <c r="K11" s="119"/>
      <c r="L11" s="119"/>
      <c r="M11" s="119"/>
      <c r="N11" s="119"/>
    </row>
    <row r="12" spans="2:14" ht="15.75">
      <c r="B12" s="2"/>
      <c r="C12" s="2"/>
      <c r="D12" s="2"/>
      <c r="E12" s="2"/>
      <c r="F12" s="2"/>
      <c r="G12" s="2"/>
      <c r="H12" s="2"/>
      <c r="I12" s="119"/>
      <c r="J12" s="119"/>
      <c r="K12" s="119"/>
      <c r="L12" s="119"/>
      <c r="M12" s="119"/>
      <c r="N12" s="119"/>
    </row>
    <row r="13" spans="2:14" ht="16.5" thickBot="1">
      <c r="B13" s="267"/>
      <c r="C13" s="267"/>
      <c r="D13" s="267"/>
      <c r="E13" s="267"/>
      <c r="F13" s="267"/>
      <c r="G13" s="267"/>
      <c r="H13" s="267"/>
      <c r="I13" s="119"/>
      <c r="J13" s="119"/>
      <c r="K13" s="119"/>
      <c r="L13" s="119"/>
      <c r="M13" s="119"/>
      <c r="N13" s="119"/>
    </row>
    <row r="14" spans="2:14" ht="105.75" customHeight="1">
      <c r="B14" s="77"/>
      <c r="C14" s="78" t="s">
        <v>104</v>
      </c>
      <c r="D14" s="78" t="s">
        <v>2</v>
      </c>
      <c r="E14" s="78" t="s">
        <v>105</v>
      </c>
      <c r="F14" s="78" t="s">
        <v>17</v>
      </c>
      <c r="G14" s="78" t="s">
        <v>3</v>
      </c>
      <c r="H14" s="78" t="s">
        <v>4</v>
      </c>
      <c r="I14" s="78" t="s">
        <v>6</v>
      </c>
      <c r="J14" s="78" t="s">
        <v>7</v>
      </c>
      <c r="K14" s="78" t="s">
        <v>127</v>
      </c>
      <c r="L14" s="78" t="s">
        <v>126</v>
      </c>
      <c r="M14" s="78" t="s">
        <v>125</v>
      </c>
      <c r="N14" s="79" t="s">
        <v>106</v>
      </c>
    </row>
    <row r="15" spans="2:14" ht="72" customHeight="1">
      <c r="B15" s="127">
        <v>1</v>
      </c>
      <c r="C15" s="104" t="s">
        <v>130</v>
      </c>
      <c r="D15" s="104" t="s">
        <v>131</v>
      </c>
      <c r="E15" s="157">
        <v>1006160041.1349599</v>
      </c>
      <c r="F15" s="154">
        <v>1</v>
      </c>
      <c r="G15" s="153">
        <v>38270</v>
      </c>
      <c r="H15" s="153">
        <v>38564</v>
      </c>
      <c r="I15" s="155" t="s">
        <v>13</v>
      </c>
      <c r="J15" s="155" t="s">
        <v>134</v>
      </c>
      <c r="K15" s="111" t="s">
        <v>107</v>
      </c>
      <c r="L15" s="111" t="s">
        <v>107</v>
      </c>
      <c r="M15" s="152"/>
      <c r="N15" s="130" t="s">
        <v>107</v>
      </c>
    </row>
    <row r="16" spans="2:14" ht="72.75" customHeight="1">
      <c r="B16" s="127">
        <v>2</v>
      </c>
      <c r="C16" s="104" t="s">
        <v>130</v>
      </c>
      <c r="D16" s="156" t="s">
        <v>42</v>
      </c>
      <c r="E16" s="157">
        <v>366255048.63239998</v>
      </c>
      <c r="F16" s="154">
        <v>1</v>
      </c>
      <c r="G16" s="153">
        <v>37996</v>
      </c>
      <c r="H16" s="153">
        <v>38382</v>
      </c>
      <c r="I16" s="155" t="s">
        <v>13</v>
      </c>
      <c r="J16" s="155" t="s">
        <v>135</v>
      </c>
      <c r="K16" s="111" t="s">
        <v>107</v>
      </c>
      <c r="L16" s="111" t="s">
        <v>107</v>
      </c>
      <c r="M16" s="146" t="s">
        <v>107</v>
      </c>
      <c r="N16" s="130" t="s">
        <v>107</v>
      </c>
    </row>
    <row r="17" spans="2:14" ht="72" customHeight="1" thickBot="1">
      <c r="B17" s="131">
        <v>3</v>
      </c>
      <c r="C17" s="24" t="s">
        <v>132</v>
      </c>
      <c r="D17" s="24" t="s">
        <v>133</v>
      </c>
      <c r="E17" s="144">
        <v>203781689.5</v>
      </c>
      <c r="F17" s="84">
        <v>0.5</v>
      </c>
      <c r="G17" s="147">
        <v>39806</v>
      </c>
      <c r="H17" s="147">
        <v>40375</v>
      </c>
      <c r="I17" s="145" t="s">
        <v>29</v>
      </c>
      <c r="J17" s="145" t="s">
        <v>136</v>
      </c>
      <c r="K17" s="133" t="s">
        <v>107</v>
      </c>
      <c r="L17" s="133" t="s">
        <v>107</v>
      </c>
      <c r="M17" s="133"/>
      <c r="N17" s="134" t="s">
        <v>107</v>
      </c>
    </row>
    <row r="18" spans="2:14" ht="15.75" thickBot="1">
      <c r="B18" s="135"/>
      <c r="C18" s="136"/>
      <c r="D18" s="136"/>
      <c r="E18" s="136"/>
      <c r="F18" s="136"/>
      <c r="G18" s="136"/>
      <c r="H18" s="136"/>
      <c r="I18" s="137"/>
      <c r="J18" s="137"/>
      <c r="K18" s="137"/>
      <c r="L18" s="137"/>
      <c r="M18" s="137"/>
      <c r="N18" s="137"/>
    </row>
    <row r="19" spans="2:14" ht="19.5" thickBot="1">
      <c r="B19" s="138"/>
      <c r="C19" s="138"/>
      <c r="D19" s="138"/>
      <c r="E19" s="136"/>
      <c r="F19" s="136"/>
      <c r="G19" s="136"/>
      <c r="H19" s="136"/>
      <c r="I19" s="137"/>
      <c r="J19" s="301" t="s">
        <v>108</v>
      </c>
      <c r="K19" s="302"/>
      <c r="L19" s="303">
        <v>900</v>
      </c>
      <c r="M19" s="304"/>
      <c r="N19" s="305"/>
    </row>
    <row r="21" spans="2:14">
      <c r="C21" s="88" t="s">
        <v>114</v>
      </c>
    </row>
    <row r="22" spans="2:14" ht="21" customHeight="1">
      <c r="C22" s="148" t="s">
        <v>124</v>
      </c>
    </row>
  </sheetData>
  <mergeCells count="9">
    <mergeCell ref="B13:H13"/>
    <mergeCell ref="J19:K19"/>
    <mergeCell ref="L19:N19"/>
    <mergeCell ref="B3:N3"/>
    <mergeCell ref="B4:N4"/>
    <mergeCell ref="B5:N5"/>
    <mergeCell ref="B6:N6"/>
    <mergeCell ref="C9:M9"/>
    <mergeCell ref="C10:M10"/>
  </mergeCells>
  <pageMargins left="0.70866141732283472" right="0.70866141732283472" top="0.74803149606299213" bottom="0.74803149606299213" header="0.31496062992125984" footer="0.31496062992125984"/>
  <pageSetup scale="44" orientation="landscape"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N22"/>
  <sheetViews>
    <sheetView topLeftCell="A15" zoomScale="85" zoomScaleNormal="85" workbookViewId="0">
      <selection activeCell="E15" sqref="E15"/>
    </sheetView>
  </sheetViews>
  <sheetFormatPr baseColWidth="10" defaultRowHeight="12.75"/>
  <cols>
    <col min="2" max="2" width="4" customWidth="1"/>
    <col min="3" max="3" width="32.7109375" customWidth="1"/>
    <col min="4" max="4" width="47.28515625" customWidth="1"/>
    <col min="5" max="5" width="23.28515625" customWidth="1"/>
    <col min="6" max="6" width="21.7109375" customWidth="1"/>
    <col min="7" max="7" width="17.28515625" customWidth="1"/>
    <col min="8" max="8" width="17.85546875" customWidth="1"/>
    <col min="9" max="9" width="17.42578125" customWidth="1"/>
    <col min="10" max="11" width="15.42578125" customWidth="1"/>
    <col min="12" max="12" width="18.28515625" customWidth="1"/>
    <col min="13" max="13" width="19.42578125" customWidth="1"/>
    <col min="14" max="14" width="16.5703125" customWidth="1"/>
  </cols>
  <sheetData>
    <row r="3" spans="2:14" ht="18.75">
      <c r="B3" s="277" t="s">
        <v>21</v>
      </c>
      <c r="C3" s="277"/>
      <c r="D3" s="277"/>
      <c r="E3" s="277"/>
      <c r="F3" s="277"/>
      <c r="G3" s="277"/>
      <c r="H3" s="277"/>
      <c r="I3" s="277"/>
      <c r="J3" s="277"/>
      <c r="K3" s="277"/>
      <c r="L3" s="277"/>
      <c r="M3" s="277"/>
      <c r="N3" s="277"/>
    </row>
    <row r="4" spans="2:14" ht="49.5" customHeight="1">
      <c r="B4" s="277" t="s">
        <v>22</v>
      </c>
      <c r="C4" s="277"/>
      <c r="D4" s="277"/>
      <c r="E4" s="277"/>
      <c r="F4" s="277"/>
      <c r="G4" s="277"/>
      <c r="H4" s="277"/>
      <c r="I4" s="277"/>
      <c r="J4" s="277"/>
      <c r="K4" s="277"/>
      <c r="L4" s="277"/>
      <c r="M4" s="277"/>
      <c r="N4" s="277"/>
    </row>
    <row r="5" spans="2:14" ht="18.75">
      <c r="B5" s="288" t="s">
        <v>109</v>
      </c>
      <c r="C5" s="288"/>
      <c r="D5" s="288"/>
      <c r="E5" s="288"/>
      <c r="F5" s="288"/>
      <c r="G5" s="288"/>
      <c r="H5" s="288"/>
      <c r="I5" s="288"/>
      <c r="J5" s="288"/>
      <c r="K5" s="288"/>
      <c r="L5" s="288"/>
      <c r="M5" s="288"/>
      <c r="N5" s="288"/>
    </row>
    <row r="6" spans="2:14" ht="18.75">
      <c r="B6" s="288" t="s">
        <v>103</v>
      </c>
      <c r="C6" s="288"/>
      <c r="D6" s="288"/>
      <c r="E6" s="288"/>
      <c r="F6" s="288"/>
      <c r="G6" s="288"/>
      <c r="H6" s="288"/>
      <c r="I6" s="288"/>
      <c r="J6" s="288"/>
      <c r="K6" s="288"/>
      <c r="L6" s="288"/>
      <c r="M6" s="288"/>
      <c r="N6" s="288"/>
    </row>
    <row r="7" spans="2:14" ht="18.75">
      <c r="B7" s="120"/>
      <c r="C7" s="120"/>
      <c r="D7" s="120"/>
      <c r="E7" s="120"/>
      <c r="F7" s="120"/>
      <c r="G7" s="120"/>
      <c r="H7" s="120"/>
      <c r="I7" s="119"/>
      <c r="J7" s="119"/>
      <c r="K7" s="119"/>
      <c r="L7" s="119"/>
      <c r="M7" s="119"/>
      <c r="N7" s="119"/>
    </row>
    <row r="8" spans="2:14" ht="15.75">
      <c r="B8" s="1"/>
      <c r="C8" s="1"/>
      <c r="D8" s="1"/>
      <c r="E8" s="1"/>
      <c r="F8" s="1"/>
      <c r="G8" s="1"/>
      <c r="H8" s="1"/>
      <c r="I8" s="119"/>
      <c r="J8" s="119"/>
      <c r="K8" s="119"/>
      <c r="L8" s="119"/>
      <c r="M8" s="119"/>
      <c r="N8" s="119"/>
    </row>
    <row r="9" spans="2:14" ht="15.75">
      <c r="B9" s="119"/>
      <c r="C9" s="280" t="s">
        <v>137</v>
      </c>
      <c r="D9" s="280"/>
      <c r="E9" s="280"/>
      <c r="F9" s="280"/>
      <c r="G9" s="280"/>
      <c r="H9" s="280"/>
      <c r="I9" s="280"/>
      <c r="J9" s="280"/>
      <c r="K9" s="280"/>
      <c r="L9" s="280"/>
      <c r="M9" s="280"/>
      <c r="N9" s="119"/>
    </row>
    <row r="10" spans="2:14" ht="15.75">
      <c r="B10" s="119"/>
      <c r="C10" s="280" t="s">
        <v>138</v>
      </c>
      <c r="D10" s="280"/>
      <c r="E10" s="280"/>
      <c r="F10" s="280"/>
      <c r="G10" s="280"/>
      <c r="H10" s="280"/>
      <c r="I10" s="280"/>
      <c r="J10" s="280"/>
      <c r="K10" s="280"/>
      <c r="L10" s="280"/>
      <c r="M10" s="280"/>
      <c r="N10" s="119"/>
    </row>
    <row r="11" spans="2:14" ht="15.75">
      <c r="B11" s="2"/>
      <c r="C11" s="2"/>
      <c r="D11" s="2"/>
      <c r="E11" s="2"/>
      <c r="F11" s="2"/>
      <c r="G11" s="2"/>
      <c r="H11" s="2"/>
      <c r="I11" s="119"/>
      <c r="J11" s="119"/>
      <c r="K11" s="119"/>
      <c r="L11" s="119"/>
      <c r="M11" s="119"/>
      <c r="N11" s="119"/>
    </row>
    <row r="12" spans="2:14" ht="15.75">
      <c r="B12" s="2"/>
      <c r="C12" s="2"/>
      <c r="D12" s="2"/>
      <c r="E12" s="2"/>
      <c r="F12" s="2"/>
      <c r="G12" s="2"/>
      <c r="H12" s="2"/>
      <c r="I12" s="119"/>
      <c r="J12" s="119"/>
      <c r="K12" s="119"/>
      <c r="L12" s="119"/>
      <c r="M12" s="119"/>
      <c r="N12" s="119"/>
    </row>
    <row r="13" spans="2:14" ht="16.5" thickBot="1">
      <c r="B13" s="267"/>
      <c r="C13" s="267"/>
      <c r="D13" s="267"/>
      <c r="E13" s="267"/>
      <c r="F13" s="267"/>
      <c r="G13" s="267"/>
      <c r="H13" s="267"/>
      <c r="I13" s="119"/>
      <c r="J13" s="119"/>
      <c r="K13" s="119"/>
      <c r="L13" s="119"/>
      <c r="M13" s="119"/>
      <c r="N13" s="119"/>
    </row>
    <row r="14" spans="2:14" ht="105.75" customHeight="1" thickBot="1">
      <c r="B14" s="121"/>
      <c r="C14" s="122" t="s">
        <v>104</v>
      </c>
      <c r="D14" s="122" t="s">
        <v>2</v>
      </c>
      <c r="E14" s="122" t="s">
        <v>105</v>
      </c>
      <c r="F14" s="122" t="s">
        <v>17</v>
      </c>
      <c r="G14" s="122" t="s">
        <v>3</v>
      </c>
      <c r="H14" s="122" t="s">
        <v>4</v>
      </c>
      <c r="I14" s="122" t="s">
        <v>6</v>
      </c>
      <c r="J14" s="122" t="s">
        <v>7</v>
      </c>
      <c r="K14" s="122" t="s">
        <v>127</v>
      </c>
      <c r="L14" s="122" t="s">
        <v>126</v>
      </c>
      <c r="M14" s="122" t="s">
        <v>125</v>
      </c>
      <c r="N14" s="123" t="s">
        <v>106</v>
      </c>
    </row>
    <row r="15" spans="2:14" ht="149.25" customHeight="1">
      <c r="B15" s="118">
        <v>1</v>
      </c>
      <c r="C15" s="207" t="s">
        <v>181</v>
      </c>
      <c r="D15" s="91" t="s">
        <v>48</v>
      </c>
      <c r="E15" s="197">
        <f>393454878*F15</f>
        <v>196727439</v>
      </c>
      <c r="F15" s="194">
        <v>0.5</v>
      </c>
      <c r="G15" s="50">
        <v>37823</v>
      </c>
      <c r="H15" s="50">
        <v>38867</v>
      </c>
      <c r="I15" s="170" t="s">
        <v>29</v>
      </c>
      <c r="J15" s="170" t="s">
        <v>139</v>
      </c>
      <c r="K15" s="125" t="s">
        <v>107</v>
      </c>
      <c r="L15" s="125" t="s">
        <v>107</v>
      </c>
      <c r="M15" s="139" t="s">
        <v>107</v>
      </c>
      <c r="N15" s="126" t="s">
        <v>107</v>
      </c>
    </row>
    <row r="16" spans="2:14" ht="138" customHeight="1">
      <c r="B16" s="127">
        <v>2</v>
      </c>
      <c r="C16" s="207" t="s">
        <v>181</v>
      </c>
      <c r="D16" s="210" t="s">
        <v>54</v>
      </c>
      <c r="E16" s="197">
        <f>370382733*F16</f>
        <v>185191366.5</v>
      </c>
      <c r="F16" s="194">
        <v>0.5</v>
      </c>
      <c r="G16" s="208">
        <v>37823</v>
      </c>
      <c r="H16" s="208">
        <v>38867</v>
      </c>
      <c r="I16" s="170" t="s">
        <v>29</v>
      </c>
      <c r="J16" s="170" t="s">
        <v>139</v>
      </c>
      <c r="K16" s="111" t="s">
        <v>107</v>
      </c>
      <c r="L16" s="111" t="s">
        <v>107</v>
      </c>
      <c r="M16" s="111"/>
      <c r="N16" s="130" t="s">
        <v>107</v>
      </c>
    </row>
    <row r="17" spans="2:14" ht="93" customHeight="1">
      <c r="B17" s="127">
        <v>3</v>
      </c>
      <c r="C17" s="207" t="s">
        <v>181</v>
      </c>
      <c r="D17" s="211" t="s">
        <v>182</v>
      </c>
      <c r="E17" s="197">
        <v>296881120</v>
      </c>
      <c r="F17" s="194">
        <v>1</v>
      </c>
      <c r="G17" s="208">
        <v>38722</v>
      </c>
      <c r="H17" s="208">
        <v>38862</v>
      </c>
      <c r="I17" s="170" t="s">
        <v>29</v>
      </c>
      <c r="J17" s="170" t="s">
        <v>140</v>
      </c>
      <c r="K17" s="111" t="s">
        <v>107</v>
      </c>
      <c r="L17" s="111" t="s">
        <v>107</v>
      </c>
      <c r="M17" s="111"/>
      <c r="N17" s="130" t="s">
        <v>107</v>
      </c>
    </row>
    <row r="18" spans="2:14" ht="15.75" thickBot="1">
      <c r="B18" s="135"/>
      <c r="C18" s="136"/>
      <c r="D18" s="136"/>
      <c r="E18" s="209"/>
      <c r="F18" s="136"/>
      <c r="G18" s="136"/>
      <c r="H18" s="136"/>
      <c r="I18" s="137"/>
      <c r="J18" s="137"/>
      <c r="K18" s="137"/>
      <c r="L18" s="137"/>
      <c r="M18" s="137"/>
      <c r="N18" s="137"/>
    </row>
    <row r="19" spans="2:14" ht="19.5" thickBot="1">
      <c r="B19" s="138"/>
      <c r="C19" s="138"/>
      <c r="D19" s="213"/>
      <c r="E19" s="212" t="s">
        <v>101</v>
      </c>
      <c r="F19" s="136"/>
      <c r="G19" s="136"/>
      <c r="H19" s="136"/>
      <c r="I19" s="137"/>
      <c r="J19" s="301" t="s">
        <v>108</v>
      </c>
      <c r="K19" s="302"/>
      <c r="L19" s="303"/>
      <c r="M19" s="304"/>
      <c r="N19" s="305"/>
    </row>
    <row r="21" spans="2:14">
      <c r="C21" s="88" t="s">
        <v>114</v>
      </c>
    </row>
    <row r="22" spans="2:14" ht="21" customHeight="1">
      <c r="C22" s="148" t="s">
        <v>124</v>
      </c>
    </row>
  </sheetData>
  <mergeCells count="9">
    <mergeCell ref="B13:H13"/>
    <mergeCell ref="J19:K19"/>
    <mergeCell ref="L19:N19"/>
    <mergeCell ref="B3:N3"/>
    <mergeCell ref="B4:N4"/>
    <mergeCell ref="B5:N5"/>
    <mergeCell ref="B6:N6"/>
    <mergeCell ref="C9:M9"/>
    <mergeCell ref="C10:M10"/>
  </mergeCells>
  <pageMargins left="0.70866141732283472" right="0.70866141732283472" top="0.74803149606299213" bottom="0.74803149606299213" header="0.31496062992125984" footer="0.31496062992125984"/>
  <pageSetup scale="44"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N22"/>
  <sheetViews>
    <sheetView topLeftCell="A16" zoomScale="85" zoomScaleNormal="85" workbookViewId="0">
      <selection activeCell="L20" sqref="L20"/>
    </sheetView>
  </sheetViews>
  <sheetFormatPr baseColWidth="10" defaultRowHeight="12.75"/>
  <cols>
    <col min="2" max="2" width="4" customWidth="1"/>
    <col min="3" max="3" width="32.7109375" customWidth="1"/>
    <col min="4" max="4" width="47.28515625" customWidth="1"/>
    <col min="5" max="5" width="23.28515625" customWidth="1"/>
    <col min="6" max="6" width="21.7109375" customWidth="1"/>
    <col min="7" max="7" width="17.28515625" customWidth="1"/>
    <col min="8" max="8" width="17.85546875" customWidth="1"/>
    <col min="9" max="9" width="17.42578125" customWidth="1"/>
    <col min="10" max="11" width="15.42578125" customWidth="1"/>
    <col min="12" max="12" width="18.28515625" customWidth="1"/>
    <col min="13" max="13" width="19.42578125" customWidth="1"/>
    <col min="14" max="14" width="16.5703125" customWidth="1"/>
  </cols>
  <sheetData>
    <row r="3" spans="2:14" ht="18.75">
      <c r="B3" s="277" t="s">
        <v>21</v>
      </c>
      <c r="C3" s="277"/>
      <c r="D3" s="277"/>
      <c r="E3" s="277"/>
      <c r="F3" s="277"/>
      <c r="G3" s="277"/>
      <c r="H3" s="277"/>
      <c r="I3" s="277"/>
      <c r="J3" s="277"/>
      <c r="K3" s="277"/>
      <c r="L3" s="277"/>
      <c r="M3" s="277"/>
      <c r="N3" s="277"/>
    </row>
    <row r="4" spans="2:14" ht="49.5" customHeight="1">
      <c r="B4" s="277" t="s">
        <v>22</v>
      </c>
      <c r="C4" s="277"/>
      <c r="D4" s="277"/>
      <c r="E4" s="277"/>
      <c r="F4" s="277"/>
      <c r="G4" s="277"/>
      <c r="H4" s="277"/>
      <c r="I4" s="277"/>
      <c r="J4" s="277"/>
      <c r="K4" s="277"/>
      <c r="L4" s="277"/>
      <c r="M4" s="277"/>
      <c r="N4" s="277"/>
    </row>
    <row r="5" spans="2:14" ht="18.75">
      <c r="B5" s="288" t="s">
        <v>109</v>
      </c>
      <c r="C5" s="288"/>
      <c r="D5" s="288"/>
      <c r="E5" s="288"/>
      <c r="F5" s="288"/>
      <c r="G5" s="288"/>
      <c r="H5" s="288"/>
      <c r="I5" s="288"/>
      <c r="J5" s="288"/>
      <c r="K5" s="288"/>
      <c r="L5" s="288"/>
      <c r="M5" s="288"/>
      <c r="N5" s="288"/>
    </row>
    <row r="6" spans="2:14" ht="18.75">
      <c r="B6" s="288" t="s">
        <v>103</v>
      </c>
      <c r="C6" s="288"/>
      <c r="D6" s="288"/>
      <c r="E6" s="288"/>
      <c r="F6" s="288"/>
      <c r="G6" s="288"/>
      <c r="H6" s="288"/>
      <c r="I6" s="288"/>
      <c r="J6" s="288"/>
      <c r="K6" s="288"/>
      <c r="L6" s="288"/>
      <c r="M6" s="288"/>
      <c r="N6" s="288"/>
    </row>
    <row r="7" spans="2:14" ht="18.75">
      <c r="B7" s="120"/>
      <c r="C7" s="120"/>
      <c r="D7" s="120"/>
      <c r="E7" s="120"/>
      <c r="F7" s="120"/>
      <c r="G7" s="120"/>
      <c r="H7" s="120"/>
      <c r="I7" s="119"/>
      <c r="J7" s="119"/>
      <c r="K7" s="119"/>
      <c r="L7" s="119"/>
      <c r="M7" s="119"/>
      <c r="N7" s="119"/>
    </row>
    <row r="8" spans="2:14" ht="15.75">
      <c r="B8" s="1"/>
      <c r="C8" s="1"/>
      <c r="D8" s="1"/>
      <c r="E8" s="1"/>
      <c r="F8" s="1"/>
      <c r="G8" s="1"/>
      <c r="H8" s="1"/>
      <c r="I8" s="119"/>
      <c r="J8" s="119"/>
      <c r="K8" s="119"/>
      <c r="L8" s="119"/>
      <c r="M8" s="119"/>
      <c r="N8" s="119"/>
    </row>
    <row r="9" spans="2:14" ht="15.75">
      <c r="B9" s="119"/>
      <c r="C9" s="280" t="s">
        <v>141</v>
      </c>
      <c r="D9" s="280"/>
      <c r="E9" s="280"/>
      <c r="F9" s="280"/>
      <c r="G9" s="280"/>
      <c r="H9" s="280"/>
      <c r="I9" s="280"/>
      <c r="J9" s="280"/>
      <c r="K9" s="280"/>
      <c r="L9" s="280"/>
      <c r="M9" s="280"/>
      <c r="N9" s="119"/>
    </row>
    <row r="10" spans="2:14" ht="15.75">
      <c r="B10" s="119"/>
      <c r="C10" s="280" t="s">
        <v>142</v>
      </c>
      <c r="D10" s="280"/>
      <c r="E10" s="280"/>
      <c r="F10" s="280"/>
      <c r="G10" s="280"/>
      <c r="H10" s="280"/>
      <c r="I10" s="280"/>
      <c r="J10" s="280"/>
      <c r="K10" s="280"/>
      <c r="L10" s="280"/>
      <c r="M10" s="280"/>
      <c r="N10" s="119"/>
    </row>
    <row r="11" spans="2:14" ht="15.75">
      <c r="B11" s="2"/>
      <c r="C11" s="2"/>
      <c r="D11" s="2"/>
      <c r="E11" s="2"/>
      <c r="F11" s="2"/>
      <c r="G11" s="2"/>
      <c r="H11" s="2"/>
      <c r="I11" s="119"/>
      <c r="J11" s="119"/>
      <c r="K11" s="119"/>
      <c r="L11" s="119"/>
      <c r="M11" s="119"/>
      <c r="N11" s="119"/>
    </row>
    <row r="12" spans="2:14" ht="25.5" customHeight="1">
      <c r="B12" s="2"/>
      <c r="C12" s="310" t="s">
        <v>145</v>
      </c>
      <c r="D12" s="310"/>
      <c r="E12" s="310"/>
      <c r="F12" s="310"/>
      <c r="G12" s="310"/>
      <c r="H12" s="310"/>
      <c r="I12" s="310"/>
      <c r="J12" s="310"/>
      <c r="K12" s="310"/>
      <c r="L12" s="310"/>
      <c r="M12" s="310"/>
      <c r="N12" s="310"/>
    </row>
    <row r="13" spans="2:14" ht="16.5" thickBot="1">
      <c r="B13" s="267"/>
      <c r="C13" s="267"/>
      <c r="D13" s="267"/>
      <c r="E13" s="267"/>
      <c r="F13" s="267"/>
      <c r="G13" s="267"/>
      <c r="H13" s="267"/>
      <c r="I13" s="119"/>
      <c r="J13" s="119"/>
      <c r="K13" s="119"/>
      <c r="L13" s="119"/>
      <c r="M13" s="119"/>
      <c r="N13" s="119"/>
    </row>
    <row r="14" spans="2:14" ht="105.75" customHeight="1" thickBot="1">
      <c r="B14" s="121"/>
      <c r="C14" s="122" t="s">
        <v>104</v>
      </c>
      <c r="D14" s="122" t="s">
        <v>2</v>
      </c>
      <c r="E14" s="122" t="s">
        <v>105</v>
      </c>
      <c r="F14" s="122" t="s">
        <v>17</v>
      </c>
      <c r="G14" s="122" t="s">
        <v>3</v>
      </c>
      <c r="H14" s="122" t="s">
        <v>4</v>
      </c>
      <c r="I14" s="122" t="s">
        <v>6</v>
      </c>
      <c r="J14" s="122" t="s">
        <v>7</v>
      </c>
      <c r="K14" s="122" t="s">
        <v>127</v>
      </c>
      <c r="L14" s="122" t="s">
        <v>126</v>
      </c>
      <c r="M14" s="122" t="s">
        <v>125</v>
      </c>
      <c r="N14" s="123" t="s">
        <v>106</v>
      </c>
    </row>
    <row r="15" spans="2:14" ht="87.75" customHeight="1">
      <c r="B15" s="118">
        <v>1</v>
      </c>
      <c r="C15" s="161" t="s">
        <v>55</v>
      </c>
      <c r="D15" s="159" t="s">
        <v>143</v>
      </c>
      <c r="E15" s="149">
        <v>177786335</v>
      </c>
      <c r="F15" s="151">
        <v>1</v>
      </c>
      <c r="G15" s="162">
        <v>39532</v>
      </c>
      <c r="H15" s="162">
        <v>39987</v>
      </c>
      <c r="I15" s="163" t="s">
        <v>29</v>
      </c>
      <c r="J15" s="163" t="s">
        <v>53</v>
      </c>
      <c r="K15" s="125" t="s">
        <v>107</v>
      </c>
      <c r="L15" s="125" t="s">
        <v>107</v>
      </c>
      <c r="M15" s="139" t="s">
        <v>107</v>
      </c>
      <c r="N15" s="126" t="s">
        <v>107</v>
      </c>
    </row>
    <row r="16" spans="2:14" ht="249.75" customHeight="1">
      <c r="B16" s="127">
        <v>2</v>
      </c>
      <c r="C16" s="161" t="s">
        <v>55</v>
      </c>
      <c r="D16" s="161" t="s">
        <v>144</v>
      </c>
      <c r="E16" s="149">
        <v>374237080</v>
      </c>
      <c r="F16" s="151">
        <v>0.5</v>
      </c>
      <c r="G16" s="162">
        <v>40095</v>
      </c>
      <c r="H16" s="162">
        <v>40331</v>
      </c>
      <c r="I16" s="163" t="s">
        <v>29</v>
      </c>
      <c r="J16" s="163" t="s">
        <v>30</v>
      </c>
      <c r="K16" s="111" t="s">
        <v>107</v>
      </c>
      <c r="L16" s="111" t="s">
        <v>107</v>
      </c>
      <c r="M16" s="111"/>
      <c r="N16" s="130" t="s">
        <v>107</v>
      </c>
    </row>
    <row r="17" spans="2:14" ht="120.75" customHeight="1">
      <c r="B17" s="127">
        <v>3</v>
      </c>
      <c r="C17" s="161" t="s">
        <v>55</v>
      </c>
      <c r="D17" s="160" t="s">
        <v>57</v>
      </c>
      <c r="E17" s="55">
        <v>168871988</v>
      </c>
      <c r="F17" s="141">
        <v>1</v>
      </c>
      <c r="G17" s="162">
        <v>38582</v>
      </c>
      <c r="H17" s="162">
        <v>38681</v>
      </c>
      <c r="I17" s="163" t="s">
        <v>29</v>
      </c>
      <c r="J17" s="163" t="s">
        <v>58</v>
      </c>
      <c r="K17" s="111" t="s">
        <v>107</v>
      </c>
      <c r="L17" s="111" t="s">
        <v>107</v>
      </c>
      <c r="M17" s="111"/>
      <c r="N17" s="130" t="s">
        <v>107</v>
      </c>
    </row>
    <row r="18" spans="2:14" ht="15.75" thickBot="1">
      <c r="B18" s="135"/>
      <c r="C18" s="136"/>
      <c r="D18" s="136"/>
      <c r="E18" s="136"/>
      <c r="F18" s="136"/>
      <c r="G18" s="136"/>
      <c r="H18" s="136"/>
      <c r="I18" s="137"/>
      <c r="J18" s="137"/>
      <c r="K18" s="137"/>
      <c r="L18" s="137"/>
      <c r="M18" s="137"/>
      <c r="N18" s="137"/>
    </row>
    <row r="19" spans="2:14" ht="19.5" thickBot="1">
      <c r="B19" s="138"/>
      <c r="C19" s="138"/>
      <c r="D19" s="138"/>
      <c r="E19" s="209"/>
      <c r="F19" s="136"/>
      <c r="G19" s="136"/>
      <c r="H19" s="136"/>
      <c r="I19" s="137"/>
      <c r="J19" s="301" t="s">
        <v>108</v>
      </c>
      <c r="K19" s="302"/>
      <c r="L19" s="303">
        <v>900</v>
      </c>
      <c r="M19" s="304"/>
      <c r="N19" s="305"/>
    </row>
    <row r="21" spans="2:14">
      <c r="C21" s="88" t="s">
        <v>114</v>
      </c>
    </row>
    <row r="22" spans="2:14" ht="21" customHeight="1">
      <c r="C22" s="148" t="s">
        <v>124</v>
      </c>
    </row>
  </sheetData>
  <mergeCells count="10">
    <mergeCell ref="B13:H13"/>
    <mergeCell ref="J19:K19"/>
    <mergeCell ref="L19:N19"/>
    <mergeCell ref="C12:N12"/>
    <mergeCell ref="B3:N3"/>
    <mergeCell ref="B4:N4"/>
    <mergeCell ref="B5:N5"/>
    <mergeCell ref="B6:N6"/>
    <mergeCell ref="C9:M9"/>
    <mergeCell ref="C10:M10"/>
  </mergeCells>
  <pageMargins left="0.70866141732283472" right="0.70866141732283472" top="0.74803149606299213" bottom="0.74803149606299213" header="0.31496062992125984" footer="0.31496062992125984"/>
  <pageSetup scale="44" orientation="landscape"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N23"/>
  <sheetViews>
    <sheetView topLeftCell="E14" zoomScale="85" zoomScaleNormal="85" workbookViewId="0">
      <selection activeCell="L20" sqref="L20:N20"/>
    </sheetView>
  </sheetViews>
  <sheetFormatPr baseColWidth="10" defaultRowHeight="12.75"/>
  <cols>
    <col min="1" max="1" width="11.42578125" style="119"/>
    <col min="2" max="2" width="4" style="119" customWidth="1"/>
    <col min="3" max="3" width="32.7109375" style="119" customWidth="1"/>
    <col min="4" max="4" width="47.28515625" style="119" customWidth="1"/>
    <col min="5" max="5" width="23.28515625" style="119" customWidth="1"/>
    <col min="6" max="6" width="21.7109375" style="119" customWidth="1"/>
    <col min="7" max="7" width="17.28515625" style="119" customWidth="1"/>
    <col min="8" max="8" width="17.85546875" style="119" customWidth="1"/>
    <col min="9" max="9" width="17.42578125" style="119" customWidth="1"/>
    <col min="10" max="11" width="15.42578125" style="119" customWidth="1"/>
    <col min="12" max="12" width="18.28515625" style="119" customWidth="1"/>
    <col min="13" max="13" width="19.42578125" style="119" customWidth="1"/>
    <col min="14" max="14" width="16.5703125" style="119" customWidth="1"/>
    <col min="15" max="16384" width="11.42578125" style="119"/>
  </cols>
  <sheetData>
    <row r="3" spans="2:14" ht="18.75">
      <c r="B3" s="277" t="s">
        <v>21</v>
      </c>
      <c r="C3" s="277"/>
      <c r="D3" s="277"/>
      <c r="E3" s="277"/>
      <c r="F3" s="277"/>
      <c r="G3" s="277"/>
      <c r="H3" s="277"/>
      <c r="I3" s="277"/>
      <c r="J3" s="277"/>
      <c r="K3" s="277"/>
      <c r="L3" s="277"/>
      <c r="M3" s="277"/>
      <c r="N3" s="277"/>
    </row>
    <row r="4" spans="2:14" ht="49.5" customHeight="1">
      <c r="B4" s="277" t="s">
        <v>22</v>
      </c>
      <c r="C4" s="277"/>
      <c r="D4" s="277"/>
      <c r="E4" s="277"/>
      <c r="F4" s="277"/>
      <c r="G4" s="277"/>
      <c r="H4" s="277"/>
      <c r="I4" s="277"/>
      <c r="J4" s="277"/>
      <c r="K4" s="277"/>
      <c r="L4" s="277"/>
      <c r="M4" s="277"/>
      <c r="N4" s="277"/>
    </row>
    <row r="5" spans="2:14" ht="18.75">
      <c r="B5" s="288" t="s">
        <v>109</v>
      </c>
      <c r="C5" s="288"/>
      <c r="D5" s="288"/>
      <c r="E5" s="288"/>
      <c r="F5" s="288"/>
      <c r="G5" s="288"/>
      <c r="H5" s="288"/>
      <c r="I5" s="288"/>
      <c r="J5" s="288"/>
      <c r="K5" s="288"/>
      <c r="L5" s="288"/>
      <c r="M5" s="288"/>
      <c r="N5" s="288"/>
    </row>
    <row r="6" spans="2:14" ht="18.75">
      <c r="B6" s="288" t="s">
        <v>103</v>
      </c>
      <c r="C6" s="288"/>
      <c r="D6" s="288"/>
      <c r="E6" s="288"/>
      <c r="F6" s="288"/>
      <c r="G6" s="288"/>
      <c r="H6" s="288"/>
      <c r="I6" s="288"/>
      <c r="J6" s="288"/>
      <c r="K6" s="288"/>
      <c r="L6" s="288"/>
      <c r="M6" s="288"/>
      <c r="N6" s="288"/>
    </row>
    <row r="7" spans="2:14" ht="18.75">
      <c r="B7" s="120"/>
      <c r="C7" s="120"/>
      <c r="D7" s="120"/>
      <c r="E7" s="120"/>
      <c r="F7" s="120"/>
      <c r="G7" s="120"/>
      <c r="H7" s="120"/>
    </row>
    <row r="8" spans="2:14" ht="15.75">
      <c r="B8" s="1"/>
      <c r="C8" s="1"/>
      <c r="D8" s="1"/>
      <c r="E8" s="1"/>
      <c r="F8" s="1"/>
      <c r="G8" s="1"/>
      <c r="H8" s="1"/>
    </row>
    <row r="9" spans="2:14" ht="15.75">
      <c r="C9" s="280" t="s">
        <v>116</v>
      </c>
      <c r="D9" s="280"/>
      <c r="E9" s="280"/>
      <c r="F9" s="280"/>
      <c r="G9" s="280"/>
      <c r="H9" s="280"/>
      <c r="I9" s="280"/>
      <c r="J9" s="280"/>
      <c r="K9" s="280"/>
      <c r="L9" s="280"/>
      <c r="M9" s="280"/>
    </row>
    <row r="10" spans="2:14" ht="15.75">
      <c r="C10" s="280" t="s">
        <v>117</v>
      </c>
      <c r="D10" s="280"/>
      <c r="E10" s="280"/>
      <c r="F10" s="280"/>
      <c r="G10" s="280"/>
      <c r="H10" s="280"/>
      <c r="I10" s="280"/>
      <c r="J10" s="280"/>
      <c r="K10" s="280"/>
      <c r="L10" s="280"/>
      <c r="M10" s="280"/>
    </row>
    <row r="11" spans="2:14" ht="15.75">
      <c r="B11" s="2"/>
      <c r="C11" s="2"/>
      <c r="D11" s="2"/>
      <c r="E11" s="2"/>
      <c r="F11" s="2"/>
      <c r="G11" s="2"/>
      <c r="H11" s="2"/>
    </row>
    <row r="12" spans="2:14" ht="15.75">
      <c r="B12" s="2"/>
      <c r="C12" s="2"/>
      <c r="D12" s="2"/>
      <c r="E12" s="2"/>
      <c r="F12" s="2"/>
      <c r="G12" s="2"/>
      <c r="H12" s="2"/>
    </row>
    <row r="13" spans="2:14" ht="16.5" thickBot="1">
      <c r="B13" s="267"/>
      <c r="C13" s="267"/>
      <c r="D13" s="267"/>
      <c r="E13" s="267"/>
      <c r="F13" s="267"/>
      <c r="G13" s="267"/>
      <c r="H13" s="267"/>
    </row>
    <row r="14" spans="2:14" ht="105.75" customHeight="1" thickBot="1">
      <c r="B14" s="121"/>
      <c r="C14" s="122" t="s">
        <v>104</v>
      </c>
      <c r="D14" s="122" t="s">
        <v>2</v>
      </c>
      <c r="E14" s="122" t="s">
        <v>105</v>
      </c>
      <c r="F14" s="122" t="s">
        <v>17</v>
      </c>
      <c r="G14" s="122" t="s">
        <v>3</v>
      </c>
      <c r="H14" s="122" t="s">
        <v>4</v>
      </c>
      <c r="I14" s="122" t="s">
        <v>6</v>
      </c>
      <c r="J14" s="122" t="s">
        <v>7</v>
      </c>
      <c r="K14" s="122" t="s">
        <v>127</v>
      </c>
      <c r="L14" s="122" t="s">
        <v>126</v>
      </c>
      <c r="M14" s="122" t="s">
        <v>125</v>
      </c>
      <c r="N14" s="123" t="s">
        <v>106</v>
      </c>
    </row>
    <row r="15" spans="2:14" ht="72" customHeight="1">
      <c r="B15" s="118">
        <v>1</v>
      </c>
      <c r="C15" s="219" t="s">
        <v>206</v>
      </c>
      <c r="D15" s="75" t="s">
        <v>186</v>
      </c>
      <c r="E15" s="260">
        <f>594170665*0.5</f>
        <v>297085332.5</v>
      </c>
      <c r="F15" s="99">
        <v>0.5</v>
      </c>
      <c r="G15" s="98">
        <v>40994</v>
      </c>
      <c r="H15" s="98">
        <v>41150</v>
      </c>
      <c r="I15" s="124" t="s">
        <v>29</v>
      </c>
      <c r="J15" s="214" t="s">
        <v>187</v>
      </c>
      <c r="K15" s="125" t="s">
        <v>107</v>
      </c>
      <c r="L15" s="125" t="s">
        <v>107</v>
      </c>
      <c r="M15" s="139" t="s">
        <v>107</v>
      </c>
      <c r="N15" s="126" t="s">
        <v>107</v>
      </c>
    </row>
    <row r="16" spans="2:14" ht="72.75" customHeight="1">
      <c r="B16" s="127">
        <v>2</v>
      </c>
      <c r="C16" s="219" t="s">
        <v>206</v>
      </c>
      <c r="D16" s="75" t="s">
        <v>188</v>
      </c>
      <c r="E16" s="260">
        <f>367363621*0.5</f>
        <v>183681810.5</v>
      </c>
      <c r="F16" s="99">
        <v>0.5</v>
      </c>
      <c r="G16" s="98">
        <v>38664</v>
      </c>
      <c r="H16" s="98">
        <v>38784</v>
      </c>
      <c r="I16" s="129" t="s">
        <v>29</v>
      </c>
      <c r="J16" s="75" t="s">
        <v>189</v>
      </c>
      <c r="K16" s="111" t="s">
        <v>107</v>
      </c>
      <c r="L16" s="111" t="s">
        <v>107</v>
      </c>
      <c r="M16" s="111"/>
      <c r="N16" s="130" t="s">
        <v>107</v>
      </c>
    </row>
    <row r="17" spans="2:14" ht="72" customHeight="1">
      <c r="B17" s="127">
        <v>3</v>
      </c>
      <c r="C17" s="219" t="s">
        <v>206</v>
      </c>
      <c r="D17" s="219" t="s">
        <v>190</v>
      </c>
      <c r="E17" s="260">
        <f>202230531*0.5</f>
        <v>101115265.5</v>
      </c>
      <c r="F17" s="99">
        <v>0.5</v>
      </c>
      <c r="G17" s="98">
        <v>34934</v>
      </c>
      <c r="H17" s="98">
        <v>35388</v>
      </c>
      <c r="I17" s="129" t="s">
        <v>29</v>
      </c>
      <c r="J17" s="75" t="s">
        <v>58</v>
      </c>
      <c r="K17" s="111" t="s">
        <v>107</v>
      </c>
      <c r="L17" s="111" t="s">
        <v>107</v>
      </c>
      <c r="M17" s="111"/>
      <c r="N17" s="130" t="s">
        <v>107</v>
      </c>
    </row>
    <row r="18" spans="2:14" ht="72" customHeight="1">
      <c r="B18" s="127">
        <v>4</v>
      </c>
      <c r="C18" s="219" t="s">
        <v>206</v>
      </c>
      <c r="D18" s="75" t="s">
        <v>191</v>
      </c>
      <c r="E18" s="260">
        <v>150579600</v>
      </c>
      <c r="F18" s="99">
        <v>1</v>
      </c>
      <c r="G18" s="98">
        <v>35808</v>
      </c>
      <c r="H18" s="98">
        <v>36307</v>
      </c>
      <c r="I18" s="129" t="s">
        <v>29</v>
      </c>
      <c r="J18" s="75" t="s">
        <v>189</v>
      </c>
      <c r="K18" s="111" t="s">
        <v>107</v>
      </c>
      <c r="L18" s="111" t="s">
        <v>107</v>
      </c>
      <c r="M18" s="111"/>
      <c r="N18" s="130" t="s">
        <v>107</v>
      </c>
    </row>
    <row r="19" spans="2:14" ht="15.75" thickBot="1">
      <c r="B19" s="135"/>
      <c r="C19" s="136"/>
      <c r="D19" s="136"/>
      <c r="E19" s="136"/>
      <c r="F19" s="136"/>
      <c r="G19" s="136"/>
      <c r="H19" s="136"/>
      <c r="I19" s="137"/>
      <c r="J19" s="137"/>
      <c r="K19" s="137"/>
      <c r="L19" s="137"/>
      <c r="M19" s="137"/>
      <c r="N19" s="137"/>
    </row>
    <row r="20" spans="2:14" ht="19.5" thickBot="1">
      <c r="B20" s="138"/>
      <c r="C20" s="138"/>
      <c r="D20" s="138"/>
      <c r="E20" s="136"/>
      <c r="F20" s="136"/>
      <c r="G20" s="136"/>
      <c r="H20" s="136"/>
      <c r="I20" s="137"/>
      <c r="J20" s="301" t="s">
        <v>108</v>
      </c>
      <c r="K20" s="302"/>
      <c r="L20" s="303">
        <v>800</v>
      </c>
      <c r="M20" s="304"/>
      <c r="N20" s="305"/>
    </row>
    <row r="22" spans="2:14">
      <c r="C22" s="261" t="s">
        <v>114</v>
      </c>
    </row>
    <row r="23" spans="2:14" ht="21" customHeight="1">
      <c r="C23" s="262" t="s">
        <v>124</v>
      </c>
    </row>
  </sheetData>
  <mergeCells count="9">
    <mergeCell ref="B13:H13"/>
    <mergeCell ref="J20:K20"/>
    <mergeCell ref="L20:N20"/>
    <mergeCell ref="B3:N3"/>
    <mergeCell ref="B4:N4"/>
    <mergeCell ref="B5:N5"/>
    <mergeCell ref="B6:N6"/>
    <mergeCell ref="C9:M9"/>
    <mergeCell ref="C10:M10"/>
  </mergeCells>
  <pageMargins left="0.70866141732283472" right="0.70866141732283472" top="0.74803149606299213" bottom="0.74803149606299213" header="0.31496062992125984" footer="0.31496062992125984"/>
  <pageSetup scale="44"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4"/>
  <sheetViews>
    <sheetView showGridLines="0" topLeftCell="D8" zoomScale="85" zoomScaleNormal="85" zoomScalePageLayoutView="40" workbookViewId="0">
      <selection activeCell="K11" sqref="K11"/>
    </sheetView>
  </sheetViews>
  <sheetFormatPr baseColWidth="10" defaultColWidth="11.42578125" defaultRowHeight="12.75"/>
  <cols>
    <col min="1" max="1" width="6.5703125" customWidth="1"/>
    <col min="2" max="2" width="6" customWidth="1"/>
    <col min="3" max="3" width="37.28515625" customWidth="1"/>
    <col min="4" max="4" width="24.7109375" customWidth="1"/>
    <col min="5" max="5" width="15.7109375" customWidth="1"/>
    <col min="6" max="6" width="28.7109375" customWidth="1"/>
    <col min="7" max="7" width="24.7109375" customWidth="1"/>
    <col min="8" max="8" width="21.42578125" customWidth="1"/>
    <col min="9" max="9" width="23" customWidth="1"/>
    <col min="10" max="10" width="23.5703125" customWidth="1"/>
    <col min="11" max="11" width="29.85546875" customWidth="1"/>
    <col min="12" max="12" width="20.85546875" customWidth="1"/>
    <col min="13" max="14" width="21.5703125" customWidth="1"/>
    <col min="15" max="15" width="21.85546875" customWidth="1"/>
  </cols>
  <sheetData>
    <row r="1" spans="2:14" ht="18.75">
      <c r="B1" s="277" t="s">
        <v>21</v>
      </c>
      <c r="C1" s="278"/>
      <c r="D1" s="278"/>
      <c r="E1" s="278"/>
      <c r="F1" s="278"/>
      <c r="G1" s="278"/>
      <c r="H1" s="278"/>
      <c r="I1" s="278"/>
      <c r="J1" s="278"/>
      <c r="K1" s="278"/>
      <c r="L1" s="278"/>
    </row>
    <row r="2" spans="2:14" ht="59.25" customHeight="1">
      <c r="B2" s="277" t="s">
        <v>22</v>
      </c>
      <c r="C2" s="278"/>
      <c r="D2" s="278"/>
      <c r="E2" s="278"/>
      <c r="F2" s="278"/>
      <c r="G2" s="278"/>
      <c r="H2" s="278"/>
      <c r="I2" s="278"/>
      <c r="J2" s="278"/>
      <c r="K2" s="278"/>
      <c r="L2" s="278"/>
    </row>
    <row r="3" spans="2:14" ht="18.75">
      <c r="B3" s="281" t="s">
        <v>33</v>
      </c>
      <c r="C3" s="281"/>
      <c r="D3" s="281"/>
      <c r="E3" s="281"/>
      <c r="F3" s="281"/>
      <c r="G3" s="281"/>
      <c r="H3" s="281"/>
      <c r="I3" s="281"/>
      <c r="J3" s="281"/>
      <c r="K3" s="281"/>
      <c r="L3" s="281"/>
    </row>
    <row r="4" spans="2:14" ht="18.75">
      <c r="B4" s="281" t="s">
        <v>0</v>
      </c>
      <c r="C4" s="281"/>
      <c r="D4" s="281"/>
      <c r="E4" s="281"/>
      <c r="F4" s="281"/>
      <c r="G4" s="281"/>
      <c r="H4" s="281"/>
      <c r="I4" s="281"/>
      <c r="J4" s="281"/>
      <c r="K4" s="281"/>
      <c r="L4" s="281"/>
    </row>
    <row r="5" spans="2:14" ht="15.75">
      <c r="B5" s="1"/>
      <c r="C5" s="1"/>
      <c r="D5" s="1"/>
      <c r="E5" s="1"/>
      <c r="F5" s="1"/>
      <c r="G5" s="1"/>
      <c r="H5" s="1"/>
      <c r="I5" s="1"/>
      <c r="J5" s="1"/>
      <c r="K5" s="1"/>
      <c r="L5" s="1"/>
    </row>
    <row r="6" spans="2:14" ht="18.75">
      <c r="B6" s="279" t="s">
        <v>23</v>
      </c>
      <c r="C6" s="279"/>
      <c r="D6" s="280" t="s">
        <v>87</v>
      </c>
      <c r="E6" s="280"/>
      <c r="F6" s="280"/>
      <c r="G6" s="280"/>
      <c r="H6" s="280"/>
      <c r="I6" s="280"/>
      <c r="J6" s="280"/>
      <c r="K6" s="280"/>
      <c r="L6" s="280"/>
      <c r="M6" s="280"/>
    </row>
    <row r="7" spans="2:14" ht="18.75">
      <c r="B7" s="279" t="s">
        <v>24</v>
      </c>
      <c r="C7" s="279"/>
      <c r="D7" s="280" t="s">
        <v>87</v>
      </c>
      <c r="E7" s="280"/>
      <c r="F7" s="280"/>
      <c r="G7" s="280"/>
      <c r="H7" s="280"/>
      <c r="I7" s="280"/>
      <c r="J7" s="280"/>
      <c r="K7" s="280"/>
      <c r="L7" s="280"/>
      <c r="M7" s="280"/>
    </row>
    <row r="8" spans="2:14" ht="15.75">
      <c r="B8" s="2"/>
      <c r="C8" s="2"/>
      <c r="D8" s="2"/>
      <c r="E8" s="2"/>
      <c r="F8" s="2"/>
      <c r="G8" s="2"/>
      <c r="H8" s="2"/>
      <c r="I8" s="2"/>
      <c r="J8" s="2"/>
      <c r="K8" s="2"/>
      <c r="L8" s="2"/>
    </row>
    <row r="9" spans="2:14" ht="26.25" customHeight="1" thickBot="1">
      <c r="B9" s="267" t="s">
        <v>1</v>
      </c>
      <c r="C9" s="267"/>
      <c r="D9" s="267"/>
      <c r="E9" s="267"/>
      <c r="F9" s="267"/>
      <c r="G9" s="267"/>
      <c r="H9" s="267"/>
      <c r="I9" s="267"/>
      <c r="J9" s="267"/>
      <c r="K9" s="267"/>
      <c r="L9" s="267"/>
    </row>
    <row r="10" spans="2:14" ht="81" customHeight="1" thickBot="1">
      <c r="B10" s="3"/>
      <c r="C10" s="4" t="s">
        <v>2</v>
      </c>
      <c r="D10" s="4" t="s">
        <v>3</v>
      </c>
      <c r="E10" s="4" t="s">
        <v>4</v>
      </c>
      <c r="F10" s="4" t="s">
        <v>5</v>
      </c>
      <c r="G10" s="4" t="s">
        <v>6</v>
      </c>
      <c r="H10" s="4" t="s">
        <v>7</v>
      </c>
      <c r="I10" s="4" t="s">
        <v>8</v>
      </c>
      <c r="J10" s="4" t="s">
        <v>9</v>
      </c>
      <c r="K10" s="4" t="s">
        <v>10</v>
      </c>
      <c r="L10" s="4" t="s">
        <v>11</v>
      </c>
      <c r="M10" s="5" t="s">
        <v>12</v>
      </c>
    </row>
    <row r="11" spans="2:14" ht="140.25" customHeight="1" thickBot="1">
      <c r="B11" s="6">
        <v>1</v>
      </c>
      <c r="C11" s="174" t="s">
        <v>160</v>
      </c>
      <c r="D11" s="181">
        <v>39888</v>
      </c>
      <c r="E11" s="181">
        <v>40268</v>
      </c>
      <c r="F11" s="180">
        <v>0.8</v>
      </c>
      <c r="G11" s="116" t="s">
        <v>18</v>
      </c>
      <c r="H11" s="182" t="s">
        <v>161</v>
      </c>
      <c r="I11" s="179" t="s">
        <v>32</v>
      </c>
      <c r="J11" s="69" t="s">
        <v>32</v>
      </c>
      <c r="K11" s="183">
        <f>1838226462*80%</f>
        <v>1470581169.6000001</v>
      </c>
      <c r="L11" s="68">
        <f>+K11/98700</f>
        <v>14899.505264437692</v>
      </c>
      <c r="M11" s="59" t="s">
        <v>15</v>
      </c>
    </row>
    <row r="12" spans="2:14" s="31" customFormat="1" ht="59.25" customHeight="1">
      <c r="B12" s="29"/>
      <c r="C12" s="30"/>
      <c r="D12" s="30"/>
      <c r="E12" s="30"/>
      <c r="F12" s="30"/>
      <c r="I12" s="268" t="s">
        <v>16</v>
      </c>
      <c r="J12" s="269"/>
      <c r="K12" s="60">
        <f>SUM(K11:K11)</f>
        <v>1470581169.6000001</v>
      </c>
      <c r="M12" s="276"/>
      <c r="N12" s="276"/>
    </row>
    <row r="13" spans="2:14" ht="68.25" customHeight="1" thickBot="1">
      <c r="B13" s="29"/>
      <c r="C13" s="30"/>
      <c r="D13" s="30"/>
      <c r="E13" s="30"/>
      <c r="F13" s="30"/>
      <c r="G13" s="32"/>
      <c r="H13" s="32"/>
      <c r="I13" s="270" t="s">
        <v>35</v>
      </c>
      <c r="J13" s="271"/>
      <c r="K13" s="272"/>
    </row>
    <row r="14" spans="2:14" ht="16.5" customHeight="1"/>
    <row r="15" spans="2:14" ht="16.5" thickBot="1">
      <c r="B15" s="267" t="s">
        <v>36</v>
      </c>
      <c r="C15" s="267"/>
      <c r="D15" s="267"/>
      <c r="E15" s="267"/>
      <c r="F15" s="267"/>
      <c r="G15" s="267"/>
      <c r="H15" s="267"/>
      <c r="I15" s="267"/>
      <c r="J15" s="267"/>
      <c r="K15" s="267"/>
      <c r="L15" s="267"/>
    </row>
    <row r="16" spans="2:14" ht="81.75" customHeight="1" thickBot="1">
      <c r="B16" s="34"/>
      <c r="C16" s="35" t="s">
        <v>2</v>
      </c>
      <c r="D16" s="35" t="s">
        <v>3</v>
      </c>
      <c r="E16" s="35" t="s">
        <v>4</v>
      </c>
      <c r="F16" s="35" t="s">
        <v>17</v>
      </c>
      <c r="G16" s="35" t="s">
        <v>6</v>
      </c>
      <c r="H16" s="35" t="s">
        <v>7</v>
      </c>
      <c r="I16" s="35" t="s">
        <v>8</v>
      </c>
      <c r="J16" s="35" t="s">
        <v>9</v>
      </c>
      <c r="K16" s="35" t="s">
        <v>10</v>
      </c>
      <c r="L16" s="35" t="s">
        <v>11</v>
      </c>
      <c r="M16" s="36" t="s">
        <v>12</v>
      </c>
    </row>
    <row r="17" spans="2:13" s="44" customFormat="1" ht="49.5" customHeight="1" thickBot="1">
      <c r="B17" s="37">
        <v>1</v>
      </c>
      <c r="C17" s="38" t="s">
        <v>32</v>
      </c>
      <c r="D17" s="39" t="s">
        <v>32</v>
      </c>
      <c r="E17" s="39" t="s">
        <v>32</v>
      </c>
      <c r="F17" s="40" t="s">
        <v>32</v>
      </c>
      <c r="G17" s="41" t="s">
        <v>32</v>
      </c>
      <c r="H17" s="38" t="s">
        <v>32</v>
      </c>
      <c r="I17" s="41" t="s">
        <v>32</v>
      </c>
      <c r="J17" s="42" t="s">
        <v>32</v>
      </c>
      <c r="K17" s="61"/>
      <c r="L17" s="27" t="s">
        <v>32</v>
      </c>
      <c r="M17" s="43" t="s">
        <v>32</v>
      </c>
    </row>
    <row r="18" spans="2:13" s="31" customFormat="1" ht="45" customHeight="1" thickBot="1">
      <c r="B18" s="29"/>
      <c r="C18" s="30"/>
      <c r="D18" s="30"/>
      <c r="E18" s="30"/>
      <c r="F18" s="30"/>
      <c r="I18" s="32"/>
      <c r="J18" s="33" t="s">
        <v>20</v>
      </c>
      <c r="K18" s="62">
        <f>SUM(K17)</f>
        <v>0</v>
      </c>
    </row>
    <row r="19" spans="2:13" s="31" customFormat="1" ht="13.5" thickBot="1">
      <c r="B19" s="30"/>
      <c r="C19" s="30"/>
      <c r="D19" s="30"/>
      <c r="E19" s="30"/>
      <c r="F19" s="30"/>
      <c r="G19" s="30"/>
      <c r="H19" s="30"/>
      <c r="I19" s="30"/>
      <c r="J19" s="30"/>
      <c r="K19" s="30"/>
    </row>
    <row r="20" spans="2:13" s="31" customFormat="1" ht="59.25" customHeight="1" thickBot="1">
      <c r="B20" s="30"/>
      <c r="C20" s="30"/>
      <c r="D20" s="30"/>
      <c r="E20" s="30"/>
      <c r="F20" s="30"/>
      <c r="G20" s="30"/>
      <c r="H20" s="30"/>
      <c r="I20" s="30"/>
      <c r="J20" s="45" t="s">
        <v>26</v>
      </c>
      <c r="K20" s="74">
        <f>+K12+K18</f>
        <v>1470581169.6000001</v>
      </c>
      <c r="L20" s="46" t="str">
        <f>IF(K20&gt;1.5*461942280,"CUMPLE","NO CUMPLE")</f>
        <v>CUMPLE</v>
      </c>
    </row>
    <row r="21" spans="2:13">
      <c r="J21" s="273" t="s">
        <v>34</v>
      </c>
      <c r="K21" s="274"/>
      <c r="L21" s="274"/>
    </row>
    <row r="22" spans="2:13">
      <c r="J22" s="275"/>
      <c r="K22" s="275"/>
      <c r="L22" s="275"/>
    </row>
    <row r="23" spans="2:13">
      <c r="J23" s="275"/>
      <c r="K23" s="275"/>
      <c r="L23" s="275"/>
    </row>
    <row r="24" spans="2:13">
      <c r="J24" s="275"/>
      <c r="K24" s="275"/>
      <c r="L24" s="275"/>
    </row>
  </sheetData>
  <mergeCells count="14">
    <mergeCell ref="B15:L15"/>
    <mergeCell ref="J21:L24"/>
    <mergeCell ref="B7:C7"/>
    <mergeCell ref="D7:M7"/>
    <mergeCell ref="B9:L9"/>
    <mergeCell ref="I12:J12"/>
    <mergeCell ref="M12:N12"/>
    <mergeCell ref="I13:K13"/>
    <mergeCell ref="B1:L1"/>
    <mergeCell ref="B2:L2"/>
    <mergeCell ref="B3:L3"/>
    <mergeCell ref="B4:L4"/>
    <mergeCell ref="B6:C6"/>
    <mergeCell ref="D6:M6"/>
  </mergeCells>
  <pageMargins left="0.74803149606299213" right="0.74803149606299213" top="0.98425196850393704" bottom="0.98425196850393704" header="0.51181102362204722" footer="0.51181102362204722"/>
  <pageSetup scale="3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N21"/>
  <sheetViews>
    <sheetView topLeftCell="E9" zoomScale="85" zoomScaleNormal="85" workbookViewId="0">
      <selection activeCell="L18" sqref="L18:N18"/>
    </sheetView>
  </sheetViews>
  <sheetFormatPr baseColWidth="10" defaultRowHeight="12.75"/>
  <cols>
    <col min="1" max="1" width="11.42578125" style="119"/>
    <col min="2" max="2" width="4" style="119" customWidth="1"/>
    <col min="3" max="3" width="32.7109375" style="119" customWidth="1"/>
    <col min="4" max="4" width="47.28515625" style="119" customWidth="1"/>
    <col min="5" max="5" width="23.28515625" style="119" customWidth="1"/>
    <col min="6" max="6" width="21.7109375" style="119" customWidth="1"/>
    <col min="7" max="7" width="17.28515625" style="119" customWidth="1"/>
    <col min="8" max="8" width="17.85546875" style="119" customWidth="1"/>
    <col min="9" max="9" width="17.42578125" style="119" customWidth="1"/>
    <col min="10" max="11" width="15.42578125" style="119" customWidth="1"/>
    <col min="12" max="12" width="18.28515625" style="119" customWidth="1"/>
    <col min="13" max="13" width="19.42578125" style="119" customWidth="1"/>
    <col min="14" max="14" width="16.5703125" style="119" customWidth="1"/>
    <col min="15" max="16384" width="11.42578125" style="119"/>
  </cols>
  <sheetData>
    <row r="3" spans="2:14" ht="18.75">
      <c r="B3" s="277" t="s">
        <v>21</v>
      </c>
      <c r="C3" s="277"/>
      <c r="D3" s="277"/>
      <c r="E3" s="277"/>
      <c r="F3" s="277"/>
      <c r="G3" s="277"/>
      <c r="H3" s="277"/>
      <c r="I3" s="277"/>
      <c r="J3" s="277"/>
      <c r="K3" s="277"/>
      <c r="L3" s="277"/>
      <c r="M3" s="277"/>
      <c r="N3" s="277"/>
    </row>
    <row r="4" spans="2:14" ht="49.5" customHeight="1">
      <c r="B4" s="277" t="s">
        <v>22</v>
      </c>
      <c r="C4" s="277"/>
      <c r="D4" s="277"/>
      <c r="E4" s="277"/>
      <c r="F4" s="277"/>
      <c r="G4" s="277"/>
      <c r="H4" s="277"/>
      <c r="I4" s="277"/>
      <c r="J4" s="277"/>
      <c r="K4" s="277"/>
      <c r="L4" s="277"/>
      <c r="M4" s="277"/>
      <c r="N4" s="277"/>
    </row>
    <row r="5" spans="2:14" ht="18.75">
      <c r="B5" s="288" t="s">
        <v>109</v>
      </c>
      <c r="C5" s="288"/>
      <c r="D5" s="288"/>
      <c r="E5" s="288"/>
      <c r="F5" s="288"/>
      <c r="G5" s="288"/>
      <c r="H5" s="288"/>
      <c r="I5" s="288"/>
      <c r="J5" s="288"/>
      <c r="K5" s="288"/>
      <c r="L5" s="288"/>
      <c r="M5" s="288"/>
      <c r="N5" s="288"/>
    </row>
    <row r="6" spans="2:14" ht="18.75">
      <c r="B6" s="288" t="s">
        <v>103</v>
      </c>
      <c r="C6" s="288"/>
      <c r="D6" s="288"/>
      <c r="E6" s="288"/>
      <c r="F6" s="288"/>
      <c r="G6" s="288"/>
      <c r="H6" s="288"/>
      <c r="I6" s="288"/>
      <c r="J6" s="288"/>
      <c r="K6" s="288"/>
      <c r="L6" s="288"/>
      <c r="M6" s="288"/>
      <c r="N6" s="288"/>
    </row>
    <row r="7" spans="2:14" ht="18.75">
      <c r="B7" s="120"/>
      <c r="C7" s="120"/>
      <c r="D7" s="120"/>
      <c r="E7" s="120"/>
      <c r="F7" s="120"/>
      <c r="G7" s="120"/>
      <c r="H7" s="120"/>
    </row>
    <row r="8" spans="2:14" ht="15.75">
      <c r="B8" s="1"/>
      <c r="C8" s="1"/>
      <c r="D8" s="1"/>
      <c r="E8" s="1"/>
      <c r="F8" s="1"/>
      <c r="G8" s="1"/>
      <c r="H8" s="1"/>
    </row>
    <row r="9" spans="2:14" ht="15.75">
      <c r="C9" s="280" t="s">
        <v>116</v>
      </c>
      <c r="D9" s="280"/>
      <c r="E9" s="280"/>
      <c r="F9" s="280"/>
      <c r="G9" s="280"/>
      <c r="H9" s="280"/>
      <c r="I9" s="280"/>
      <c r="J9" s="280"/>
      <c r="K9" s="280"/>
      <c r="L9" s="280"/>
      <c r="M9" s="280"/>
    </row>
    <row r="10" spans="2:14" ht="15.75">
      <c r="C10" s="280" t="s">
        <v>117</v>
      </c>
      <c r="D10" s="280"/>
      <c r="E10" s="280"/>
      <c r="F10" s="280"/>
      <c r="G10" s="280"/>
      <c r="H10" s="280"/>
      <c r="I10" s="280"/>
      <c r="J10" s="280"/>
      <c r="K10" s="280"/>
      <c r="L10" s="280"/>
      <c r="M10" s="280"/>
    </row>
    <row r="11" spans="2:14" ht="15.75">
      <c r="B11" s="2"/>
      <c r="C11" s="2"/>
      <c r="D11" s="2"/>
      <c r="E11" s="2"/>
      <c r="F11" s="2"/>
      <c r="G11" s="2"/>
      <c r="H11" s="2"/>
    </row>
    <row r="12" spans="2:14" ht="15.75">
      <c r="B12" s="2"/>
      <c r="C12" s="2"/>
      <c r="D12" s="2"/>
      <c r="E12" s="2"/>
      <c r="F12" s="2"/>
      <c r="G12" s="2"/>
      <c r="H12" s="2"/>
    </row>
    <row r="13" spans="2:14" ht="16.5" thickBot="1">
      <c r="B13" s="267"/>
      <c r="C13" s="267"/>
      <c r="D13" s="267"/>
      <c r="E13" s="267"/>
      <c r="F13" s="267"/>
      <c r="G13" s="267"/>
      <c r="H13" s="267"/>
    </row>
    <row r="14" spans="2:14" ht="105.75" customHeight="1" thickBot="1">
      <c r="B14" s="121"/>
      <c r="C14" s="122" t="s">
        <v>104</v>
      </c>
      <c r="D14" s="122" t="s">
        <v>2</v>
      </c>
      <c r="E14" s="122" t="s">
        <v>105</v>
      </c>
      <c r="F14" s="122" t="s">
        <v>17</v>
      </c>
      <c r="G14" s="122" t="s">
        <v>3</v>
      </c>
      <c r="H14" s="122" t="s">
        <v>4</v>
      </c>
      <c r="I14" s="122" t="s">
        <v>6</v>
      </c>
      <c r="J14" s="122" t="s">
        <v>7</v>
      </c>
      <c r="K14" s="122" t="s">
        <v>127</v>
      </c>
      <c r="L14" s="122" t="s">
        <v>126</v>
      </c>
      <c r="M14" s="122" t="s">
        <v>125</v>
      </c>
      <c r="N14" s="123" t="s">
        <v>106</v>
      </c>
    </row>
    <row r="15" spans="2:14" ht="72" customHeight="1">
      <c r="B15" s="118">
        <v>1</v>
      </c>
      <c r="C15" s="128" t="s">
        <v>192</v>
      </c>
      <c r="D15" s="128" t="s">
        <v>207</v>
      </c>
      <c r="E15" s="116">
        <v>176571524</v>
      </c>
      <c r="F15" s="169">
        <v>1</v>
      </c>
      <c r="G15" s="222">
        <v>34568</v>
      </c>
      <c r="H15" s="222">
        <v>34752</v>
      </c>
      <c r="I15" s="124" t="s">
        <v>29</v>
      </c>
      <c r="J15" s="170" t="s">
        <v>208</v>
      </c>
      <c r="K15" s="125" t="s">
        <v>107</v>
      </c>
      <c r="L15" s="125" t="s">
        <v>107</v>
      </c>
      <c r="M15" s="139" t="s">
        <v>107</v>
      </c>
      <c r="N15" s="126" t="s">
        <v>107</v>
      </c>
    </row>
    <row r="16" spans="2:14" ht="72.75" customHeight="1">
      <c r="B16" s="127">
        <v>2</v>
      </c>
      <c r="C16" s="128" t="s">
        <v>209</v>
      </c>
      <c r="D16" s="128" t="s">
        <v>210</v>
      </c>
      <c r="E16" s="116">
        <f>850000000*0.8</f>
        <v>680000000</v>
      </c>
      <c r="F16" s="169">
        <v>1</v>
      </c>
      <c r="G16" s="222">
        <v>37859</v>
      </c>
      <c r="H16" s="222">
        <v>38256</v>
      </c>
      <c r="I16" s="129" t="s">
        <v>29</v>
      </c>
      <c r="J16" s="170" t="s">
        <v>202</v>
      </c>
      <c r="K16" s="111" t="s">
        <v>107</v>
      </c>
      <c r="L16" s="111" t="s">
        <v>107</v>
      </c>
      <c r="M16" s="111"/>
      <c r="N16" s="130" t="s">
        <v>107</v>
      </c>
    </row>
    <row r="17" spans="2:14" ht="15.75" thickBot="1">
      <c r="B17" s="135"/>
      <c r="C17" s="136"/>
      <c r="D17" s="136"/>
      <c r="E17" s="136"/>
      <c r="F17" s="136"/>
      <c r="G17" s="136"/>
      <c r="H17" s="136"/>
      <c r="I17" s="137"/>
      <c r="J17" s="137"/>
      <c r="K17" s="137"/>
      <c r="L17" s="137"/>
      <c r="M17" s="137"/>
      <c r="N17" s="137"/>
    </row>
    <row r="18" spans="2:14" ht="19.5" thickBot="1">
      <c r="B18" s="138"/>
      <c r="C18" s="138"/>
      <c r="D18" s="138"/>
      <c r="E18" s="136"/>
      <c r="F18" s="136"/>
      <c r="G18" s="136"/>
      <c r="H18" s="136"/>
      <c r="I18" s="137"/>
      <c r="J18" s="301" t="s">
        <v>108</v>
      </c>
      <c r="K18" s="302"/>
      <c r="L18" s="303">
        <v>900</v>
      </c>
      <c r="M18" s="304"/>
      <c r="N18" s="305"/>
    </row>
    <row r="20" spans="2:14">
      <c r="C20" s="261" t="s">
        <v>114</v>
      </c>
    </row>
    <row r="21" spans="2:14" ht="21" customHeight="1">
      <c r="C21" s="262" t="s">
        <v>124</v>
      </c>
    </row>
  </sheetData>
  <mergeCells count="9">
    <mergeCell ref="B13:H13"/>
    <mergeCell ref="J18:K18"/>
    <mergeCell ref="L18:N18"/>
    <mergeCell ref="B3:N3"/>
    <mergeCell ref="B4:N4"/>
    <mergeCell ref="B5:N5"/>
    <mergeCell ref="B6:N6"/>
    <mergeCell ref="C9:M9"/>
    <mergeCell ref="C10:M10"/>
  </mergeCells>
  <pageMargins left="0.70866141732283472" right="0.70866141732283472" top="0.74803149606299213" bottom="0.74803149606299213" header="0.31496062992125984" footer="0.31496062992125984"/>
  <pageSetup scale="44" orientation="landscape" horizontalDpi="0"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N22"/>
  <sheetViews>
    <sheetView topLeftCell="C9" zoomScale="85" zoomScaleNormal="85" workbookViewId="0">
      <selection activeCell="C10" sqref="C10:M10"/>
    </sheetView>
  </sheetViews>
  <sheetFormatPr baseColWidth="10" defaultRowHeight="12.75"/>
  <cols>
    <col min="2" max="2" width="4" customWidth="1"/>
    <col min="3" max="3" width="32.7109375" customWidth="1"/>
    <col min="4" max="4" width="47.28515625" customWidth="1"/>
    <col min="5" max="5" width="23.28515625" customWidth="1"/>
    <col min="6" max="6" width="21.7109375" customWidth="1"/>
    <col min="7" max="7" width="17.28515625" customWidth="1"/>
    <col min="8" max="8" width="17.85546875" customWidth="1"/>
    <col min="9" max="9" width="17.42578125" customWidth="1"/>
    <col min="10" max="11" width="15.42578125" customWidth="1"/>
    <col min="12" max="12" width="18.28515625" customWidth="1"/>
    <col min="13" max="13" width="19.42578125" customWidth="1"/>
    <col min="14" max="14" width="16.5703125" customWidth="1"/>
  </cols>
  <sheetData>
    <row r="3" spans="2:14" ht="18.75">
      <c r="B3" s="277" t="s">
        <v>21</v>
      </c>
      <c r="C3" s="277"/>
      <c r="D3" s="277"/>
      <c r="E3" s="277"/>
      <c r="F3" s="277"/>
      <c r="G3" s="277"/>
      <c r="H3" s="277"/>
      <c r="I3" s="277"/>
      <c r="J3" s="277"/>
      <c r="K3" s="277"/>
      <c r="L3" s="277"/>
      <c r="M3" s="277"/>
      <c r="N3" s="277"/>
    </row>
    <row r="4" spans="2:14" ht="49.5" customHeight="1">
      <c r="B4" s="277" t="s">
        <v>22</v>
      </c>
      <c r="C4" s="277"/>
      <c r="D4" s="277"/>
      <c r="E4" s="277"/>
      <c r="F4" s="277"/>
      <c r="G4" s="277"/>
      <c r="H4" s="277"/>
      <c r="I4" s="277"/>
      <c r="J4" s="277"/>
      <c r="K4" s="277"/>
      <c r="L4" s="277"/>
      <c r="M4" s="277"/>
      <c r="N4" s="277"/>
    </row>
    <row r="5" spans="2:14" ht="18.75">
      <c r="B5" s="288" t="s">
        <v>109</v>
      </c>
      <c r="C5" s="288"/>
      <c r="D5" s="288"/>
      <c r="E5" s="288"/>
      <c r="F5" s="288"/>
      <c r="G5" s="288"/>
      <c r="H5" s="288"/>
      <c r="I5" s="288"/>
      <c r="J5" s="288"/>
      <c r="K5" s="288"/>
      <c r="L5" s="288"/>
      <c r="M5" s="288"/>
      <c r="N5" s="288"/>
    </row>
    <row r="6" spans="2:14" ht="18.75">
      <c r="B6" s="288" t="s">
        <v>103</v>
      </c>
      <c r="C6" s="288"/>
      <c r="D6" s="288"/>
      <c r="E6" s="288"/>
      <c r="F6" s="288"/>
      <c r="G6" s="288"/>
      <c r="H6" s="288"/>
      <c r="I6" s="288"/>
      <c r="J6" s="288"/>
      <c r="K6" s="288"/>
      <c r="L6" s="288"/>
      <c r="M6" s="288"/>
      <c r="N6" s="288"/>
    </row>
    <row r="7" spans="2:14" ht="18.75">
      <c r="B7" s="120"/>
      <c r="C7" s="120"/>
      <c r="D7" s="120"/>
      <c r="E7" s="120"/>
      <c r="F7" s="120"/>
      <c r="G7" s="120"/>
      <c r="H7" s="120"/>
      <c r="I7" s="119"/>
      <c r="J7" s="119"/>
      <c r="K7" s="119"/>
      <c r="L7" s="119"/>
      <c r="M7" s="119"/>
      <c r="N7" s="119"/>
    </row>
    <row r="8" spans="2:14" ht="15.75">
      <c r="B8" s="1"/>
      <c r="C8" s="1"/>
      <c r="D8" s="1"/>
      <c r="E8" s="1"/>
      <c r="F8" s="1"/>
      <c r="G8" s="1"/>
      <c r="H8" s="1"/>
      <c r="I8" s="119"/>
      <c r="J8" s="119"/>
      <c r="K8" s="119"/>
      <c r="L8" s="119"/>
      <c r="M8" s="119"/>
      <c r="N8" s="119"/>
    </row>
    <row r="9" spans="2:14" ht="15.75">
      <c r="B9" s="119"/>
      <c r="C9" s="280" t="s">
        <v>146</v>
      </c>
      <c r="D9" s="280"/>
      <c r="E9" s="280"/>
      <c r="F9" s="280"/>
      <c r="G9" s="280"/>
      <c r="H9" s="280"/>
      <c r="I9" s="280"/>
      <c r="J9" s="280"/>
      <c r="K9" s="280"/>
      <c r="L9" s="280"/>
      <c r="M9" s="280"/>
      <c r="N9" s="119"/>
    </row>
    <row r="10" spans="2:14" ht="15.75">
      <c r="B10" s="119"/>
      <c r="C10" s="280" t="s">
        <v>147</v>
      </c>
      <c r="D10" s="280"/>
      <c r="E10" s="280"/>
      <c r="F10" s="280"/>
      <c r="G10" s="280"/>
      <c r="H10" s="280"/>
      <c r="I10" s="280"/>
      <c r="J10" s="280"/>
      <c r="K10" s="280"/>
      <c r="L10" s="280"/>
      <c r="M10" s="280"/>
      <c r="N10" s="119"/>
    </row>
    <row r="11" spans="2:14" ht="15.75">
      <c r="B11" s="2"/>
      <c r="C11" s="2"/>
      <c r="D11" s="2"/>
      <c r="E11" s="2"/>
      <c r="F11" s="2"/>
      <c r="G11" s="2"/>
      <c r="H11" s="2"/>
      <c r="I11" s="119"/>
      <c r="J11" s="119"/>
      <c r="K11" s="119"/>
      <c r="L11" s="119"/>
      <c r="M11" s="119"/>
      <c r="N11" s="119"/>
    </row>
    <row r="12" spans="2:14" ht="15.75">
      <c r="B12" s="2"/>
      <c r="C12" s="2"/>
      <c r="D12" s="2"/>
      <c r="E12" s="2"/>
      <c r="F12" s="2"/>
      <c r="G12" s="2"/>
      <c r="H12" s="2"/>
      <c r="I12" s="119"/>
      <c r="J12" s="119"/>
      <c r="K12" s="119"/>
      <c r="L12" s="119"/>
      <c r="M12" s="119"/>
      <c r="N12" s="119"/>
    </row>
    <row r="13" spans="2:14" ht="16.5" thickBot="1">
      <c r="B13" s="267"/>
      <c r="C13" s="267"/>
      <c r="D13" s="267"/>
      <c r="E13" s="267"/>
      <c r="F13" s="267"/>
      <c r="G13" s="267"/>
      <c r="H13" s="267"/>
      <c r="I13" s="119"/>
      <c r="J13" s="119"/>
      <c r="K13" s="119"/>
      <c r="L13" s="119"/>
      <c r="M13" s="119"/>
      <c r="N13" s="119"/>
    </row>
    <row r="14" spans="2:14" ht="105.75" customHeight="1" thickBot="1">
      <c r="B14" s="121"/>
      <c r="C14" s="122" t="s">
        <v>104</v>
      </c>
      <c r="D14" s="122" t="s">
        <v>2</v>
      </c>
      <c r="E14" s="122" t="s">
        <v>105</v>
      </c>
      <c r="F14" s="122" t="s">
        <v>17</v>
      </c>
      <c r="G14" s="122" t="s">
        <v>3</v>
      </c>
      <c r="H14" s="122" t="s">
        <v>4</v>
      </c>
      <c r="I14" s="122" t="s">
        <v>6</v>
      </c>
      <c r="J14" s="122" t="s">
        <v>7</v>
      </c>
      <c r="K14" s="122" t="s">
        <v>127</v>
      </c>
      <c r="L14" s="122" t="s">
        <v>126</v>
      </c>
      <c r="M14" s="122" t="s">
        <v>125</v>
      </c>
      <c r="N14" s="123" t="s">
        <v>106</v>
      </c>
    </row>
    <row r="15" spans="2:14" ht="72" customHeight="1">
      <c r="B15" s="118">
        <v>1</v>
      </c>
      <c r="C15" s="165" t="s">
        <v>148</v>
      </c>
      <c r="D15" s="91" t="s">
        <v>61</v>
      </c>
      <c r="E15" s="149">
        <v>1492673500</v>
      </c>
      <c r="F15" s="82">
        <v>0.5</v>
      </c>
      <c r="G15" s="81">
        <v>39539</v>
      </c>
      <c r="H15" s="81">
        <v>39812</v>
      </c>
      <c r="I15" s="164" t="s">
        <v>29</v>
      </c>
      <c r="J15" s="104" t="s">
        <v>62</v>
      </c>
      <c r="K15" s="125" t="s">
        <v>107</v>
      </c>
      <c r="L15" s="125" t="s">
        <v>107</v>
      </c>
      <c r="M15" s="139" t="s">
        <v>107</v>
      </c>
      <c r="N15" s="126" t="s">
        <v>107</v>
      </c>
    </row>
    <row r="16" spans="2:14" ht="72.75" customHeight="1">
      <c r="B16" s="127">
        <v>2</v>
      </c>
      <c r="C16" s="165" t="s">
        <v>148</v>
      </c>
      <c r="D16" s="91" t="s">
        <v>63</v>
      </c>
      <c r="E16" s="149">
        <v>2685556855</v>
      </c>
      <c r="F16" s="82">
        <v>1</v>
      </c>
      <c r="G16" s="81">
        <v>39873</v>
      </c>
      <c r="H16" s="81">
        <v>40152</v>
      </c>
      <c r="I16" s="164" t="s">
        <v>29</v>
      </c>
      <c r="J16" s="104" t="s">
        <v>64</v>
      </c>
      <c r="K16" s="111" t="s">
        <v>107</v>
      </c>
      <c r="L16" s="111" t="s">
        <v>107</v>
      </c>
      <c r="M16" s="111"/>
      <c r="N16" s="130" t="s">
        <v>107</v>
      </c>
    </row>
    <row r="17" spans="2:14" ht="96" customHeight="1">
      <c r="B17" s="127">
        <v>3</v>
      </c>
      <c r="C17" s="165" t="s">
        <v>148</v>
      </c>
      <c r="D17" s="91" t="s">
        <v>65</v>
      </c>
      <c r="E17" s="149">
        <v>2818800000</v>
      </c>
      <c r="F17" s="82">
        <v>1</v>
      </c>
      <c r="G17" s="81">
        <v>40346</v>
      </c>
      <c r="H17" s="81">
        <v>40648</v>
      </c>
      <c r="I17" s="164" t="s">
        <v>29</v>
      </c>
      <c r="J17" s="104" t="s">
        <v>66</v>
      </c>
      <c r="K17" s="111" t="s">
        <v>107</v>
      </c>
      <c r="L17" s="111" t="s">
        <v>107</v>
      </c>
      <c r="M17" s="111"/>
      <c r="N17" s="130" t="s">
        <v>107</v>
      </c>
    </row>
    <row r="18" spans="2:14" ht="15.75" thickBot="1">
      <c r="B18" s="135"/>
      <c r="C18" s="136"/>
      <c r="D18" s="136"/>
      <c r="E18" s="136"/>
      <c r="F18" s="136"/>
      <c r="G18" s="136"/>
      <c r="H18" s="136"/>
      <c r="I18" s="137"/>
      <c r="J18" s="137"/>
      <c r="K18" s="137"/>
      <c r="L18" s="137"/>
      <c r="M18" s="137"/>
      <c r="N18" s="137"/>
    </row>
    <row r="19" spans="2:14" ht="19.5" thickBot="1">
      <c r="B19" s="138"/>
      <c r="C19" s="138"/>
      <c r="D19" s="138"/>
      <c r="E19" s="136"/>
      <c r="F19" s="136"/>
      <c r="G19" s="136"/>
      <c r="H19" s="136"/>
      <c r="I19" s="137"/>
      <c r="J19" s="301" t="s">
        <v>108</v>
      </c>
      <c r="K19" s="302"/>
      <c r="L19" s="303">
        <v>900</v>
      </c>
      <c r="M19" s="304"/>
      <c r="N19" s="305"/>
    </row>
    <row r="21" spans="2:14">
      <c r="C21" s="88" t="s">
        <v>114</v>
      </c>
    </row>
    <row r="22" spans="2:14" ht="21" customHeight="1">
      <c r="C22" s="148" t="s">
        <v>124</v>
      </c>
    </row>
  </sheetData>
  <mergeCells count="9">
    <mergeCell ref="B13:H13"/>
    <mergeCell ref="J19:K19"/>
    <mergeCell ref="L19:N19"/>
    <mergeCell ref="B3:N3"/>
    <mergeCell ref="B4:N4"/>
    <mergeCell ref="B5:N5"/>
    <mergeCell ref="B6:N6"/>
    <mergeCell ref="C9:M9"/>
    <mergeCell ref="C10:M10"/>
  </mergeCells>
  <pageMargins left="0.70866141732283472" right="0.70866141732283472" top="0.74803149606299213" bottom="0.74803149606299213" header="0.31496062992125984" footer="0.31496062992125984"/>
  <pageSetup scale="44" orientation="landscape" horizontalDpi="0"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N22"/>
  <sheetViews>
    <sheetView topLeftCell="E10" zoomScale="85" zoomScaleNormal="85" workbookViewId="0">
      <selection activeCell="M23" sqref="M23"/>
    </sheetView>
  </sheetViews>
  <sheetFormatPr baseColWidth="10" defaultRowHeight="12.75"/>
  <cols>
    <col min="2" max="2" width="4" customWidth="1"/>
    <col min="3" max="3" width="32.7109375" customWidth="1"/>
    <col min="4" max="4" width="47.28515625" customWidth="1"/>
    <col min="5" max="5" width="23.28515625" customWidth="1"/>
    <col min="6" max="6" width="21.7109375" customWidth="1"/>
    <col min="7" max="7" width="17.28515625" customWidth="1"/>
    <col min="8" max="8" width="17.85546875" customWidth="1"/>
    <col min="9" max="9" width="17.42578125" customWidth="1"/>
    <col min="10" max="11" width="15.42578125" customWidth="1"/>
    <col min="12" max="12" width="18.28515625" customWidth="1"/>
    <col min="13" max="13" width="19.42578125" customWidth="1"/>
    <col min="14" max="14" width="16.5703125" customWidth="1"/>
  </cols>
  <sheetData>
    <row r="3" spans="2:14" ht="18.75">
      <c r="B3" s="277" t="s">
        <v>21</v>
      </c>
      <c r="C3" s="277"/>
      <c r="D3" s="277"/>
      <c r="E3" s="277"/>
      <c r="F3" s="277"/>
      <c r="G3" s="277"/>
      <c r="H3" s="277"/>
      <c r="I3" s="277"/>
      <c r="J3" s="277"/>
      <c r="K3" s="277"/>
      <c r="L3" s="277"/>
      <c r="M3" s="277"/>
      <c r="N3" s="277"/>
    </row>
    <row r="4" spans="2:14" ht="49.5" customHeight="1">
      <c r="B4" s="277" t="s">
        <v>22</v>
      </c>
      <c r="C4" s="277"/>
      <c r="D4" s="277"/>
      <c r="E4" s="277"/>
      <c r="F4" s="277"/>
      <c r="G4" s="277"/>
      <c r="H4" s="277"/>
      <c r="I4" s="277"/>
      <c r="J4" s="277"/>
      <c r="K4" s="277"/>
      <c r="L4" s="277"/>
      <c r="M4" s="277"/>
      <c r="N4" s="277"/>
    </row>
    <row r="5" spans="2:14" ht="18.75">
      <c r="B5" s="288" t="s">
        <v>109</v>
      </c>
      <c r="C5" s="288"/>
      <c r="D5" s="288"/>
      <c r="E5" s="288"/>
      <c r="F5" s="288"/>
      <c r="G5" s="288"/>
      <c r="H5" s="288"/>
      <c r="I5" s="288"/>
      <c r="J5" s="288"/>
      <c r="K5" s="288"/>
      <c r="L5" s="288"/>
      <c r="M5" s="288"/>
      <c r="N5" s="288"/>
    </row>
    <row r="6" spans="2:14" ht="18.75">
      <c r="B6" s="288" t="s">
        <v>103</v>
      </c>
      <c r="C6" s="288"/>
      <c r="D6" s="288"/>
      <c r="E6" s="288"/>
      <c r="F6" s="288"/>
      <c r="G6" s="288"/>
      <c r="H6" s="288"/>
      <c r="I6" s="288"/>
      <c r="J6" s="288"/>
      <c r="K6" s="288"/>
      <c r="L6" s="288"/>
      <c r="M6" s="288"/>
      <c r="N6" s="288"/>
    </row>
    <row r="7" spans="2:14" ht="18.75">
      <c r="B7" s="120"/>
      <c r="C7" s="120"/>
      <c r="D7" s="120"/>
      <c r="E7" s="120"/>
      <c r="F7" s="120"/>
      <c r="G7" s="120"/>
      <c r="H7" s="120"/>
      <c r="I7" s="119"/>
      <c r="J7" s="119"/>
      <c r="K7" s="119"/>
      <c r="L7" s="119"/>
      <c r="M7" s="119"/>
      <c r="N7" s="119"/>
    </row>
    <row r="8" spans="2:14" ht="15.75">
      <c r="B8" s="1"/>
      <c r="C8" s="1"/>
      <c r="D8" s="1"/>
      <c r="E8" s="1"/>
      <c r="F8" s="1"/>
      <c r="G8" s="1"/>
      <c r="H8" s="1"/>
      <c r="I8" s="119"/>
      <c r="J8" s="119"/>
      <c r="K8" s="119"/>
      <c r="L8" s="119"/>
      <c r="M8" s="119"/>
      <c r="N8" s="119"/>
    </row>
    <row r="9" spans="2:14" ht="15.75">
      <c r="B9" s="119"/>
      <c r="C9" s="280" t="s">
        <v>214</v>
      </c>
      <c r="D9" s="280"/>
      <c r="E9" s="280"/>
      <c r="F9" s="280"/>
      <c r="G9" s="280"/>
      <c r="H9" s="280"/>
      <c r="I9" s="280"/>
      <c r="J9" s="280"/>
      <c r="K9" s="280"/>
      <c r="L9" s="280"/>
      <c r="M9" s="280"/>
      <c r="N9" s="119"/>
    </row>
    <row r="10" spans="2:14" ht="15.75">
      <c r="B10" s="119"/>
      <c r="C10" s="280" t="s">
        <v>215</v>
      </c>
      <c r="D10" s="280"/>
      <c r="E10" s="280"/>
      <c r="F10" s="280"/>
      <c r="G10" s="280"/>
      <c r="H10" s="280"/>
      <c r="I10" s="280"/>
      <c r="J10" s="280"/>
      <c r="K10" s="280"/>
      <c r="L10" s="280"/>
      <c r="M10" s="280"/>
      <c r="N10" s="119"/>
    </row>
    <row r="11" spans="2:14" ht="15.75">
      <c r="B11" s="2"/>
      <c r="C11" s="2"/>
      <c r="D11" s="2"/>
      <c r="E11" s="2"/>
      <c r="F11" s="2"/>
      <c r="G11" s="2"/>
      <c r="H11" s="2"/>
      <c r="I11" s="119"/>
      <c r="J11" s="119"/>
      <c r="K11" s="119"/>
      <c r="L11" s="119"/>
      <c r="M11" s="119"/>
      <c r="N11" s="119"/>
    </row>
    <row r="12" spans="2:14" ht="15.75">
      <c r="B12" s="2"/>
      <c r="C12" s="2"/>
      <c r="D12" s="2"/>
      <c r="E12" s="2"/>
      <c r="F12" s="2"/>
      <c r="G12" s="2"/>
      <c r="H12" s="2"/>
      <c r="I12" s="119"/>
      <c r="J12" s="119"/>
      <c r="K12" s="119"/>
      <c r="L12" s="119"/>
      <c r="M12" s="119"/>
      <c r="N12" s="119"/>
    </row>
    <row r="13" spans="2:14" ht="16.5" thickBot="1">
      <c r="B13" s="267"/>
      <c r="C13" s="267"/>
      <c r="D13" s="267"/>
      <c r="E13" s="267"/>
      <c r="F13" s="267"/>
      <c r="G13" s="267"/>
      <c r="H13" s="267"/>
      <c r="I13" s="119"/>
      <c r="J13" s="119"/>
      <c r="K13" s="119"/>
      <c r="L13" s="119"/>
      <c r="M13" s="119"/>
      <c r="N13" s="119"/>
    </row>
    <row r="14" spans="2:14" ht="105.75" customHeight="1" thickBot="1">
      <c r="B14" s="121"/>
      <c r="C14" s="122" t="s">
        <v>104</v>
      </c>
      <c r="D14" s="122" t="s">
        <v>2</v>
      </c>
      <c r="E14" s="122" t="s">
        <v>105</v>
      </c>
      <c r="F14" s="122" t="s">
        <v>17</v>
      </c>
      <c r="G14" s="122" t="s">
        <v>3</v>
      </c>
      <c r="H14" s="122" t="s">
        <v>4</v>
      </c>
      <c r="I14" s="122" t="s">
        <v>6</v>
      </c>
      <c r="J14" s="122" t="s">
        <v>7</v>
      </c>
      <c r="K14" s="122" t="s">
        <v>127</v>
      </c>
      <c r="L14" s="122" t="s">
        <v>126</v>
      </c>
      <c r="M14" s="122" t="s">
        <v>125</v>
      </c>
      <c r="N14" s="123" t="s">
        <v>106</v>
      </c>
    </row>
    <row r="15" spans="2:14" ht="72" customHeight="1">
      <c r="B15" s="118">
        <v>1</v>
      </c>
      <c r="C15" s="207" t="s">
        <v>179</v>
      </c>
      <c r="D15" s="207" t="s">
        <v>177</v>
      </c>
      <c r="E15" s="197">
        <v>780910180</v>
      </c>
      <c r="F15" s="194">
        <v>1</v>
      </c>
      <c r="G15" s="208">
        <v>40944</v>
      </c>
      <c r="H15" s="208">
        <v>41217</v>
      </c>
      <c r="I15" s="170" t="s">
        <v>29</v>
      </c>
      <c r="J15" s="170" t="s">
        <v>30</v>
      </c>
      <c r="K15" s="125" t="s">
        <v>107</v>
      </c>
      <c r="L15" s="125" t="s">
        <v>107</v>
      </c>
      <c r="M15" s="139" t="s">
        <v>107</v>
      </c>
      <c r="N15" s="126" t="s">
        <v>107</v>
      </c>
    </row>
    <row r="16" spans="2:14" ht="72.75" customHeight="1">
      <c r="B16" s="127">
        <v>2</v>
      </c>
      <c r="C16" s="207" t="s">
        <v>179</v>
      </c>
      <c r="D16" s="207" t="s">
        <v>178</v>
      </c>
      <c r="E16" s="197">
        <v>5695891397</v>
      </c>
      <c r="F16" s="194">
        <v>0.33</v>
      </c>
      <c r="G16" s="208">
        <v>36173</v>
      </c>
      <c r="H16" s="208">
        <v>40846</v>
      </c>
      <c r="I16" s="170" t="s">
        <v>29</v>
      </c>
      <c r="J16" s="170" t="s">
        <v>30</v>
      </c>
      <c r="K16" s="111" t="s">
        <v>107</v>
      </c>
      <c r="L16" s="111" t="s">
        <v>107</v>
      </c>
      <c r="M16" s="111"/>
      <c r="N16" s="130" t="s">
        <v>107</v>
      </c>
    </row>
    <row r="17" spans="2:14" ht="72" customHeight="1">
      <c r="B17" s="127">
        <v>3</v>
      </c>
      <c r="C17" s="207" t="s">
        <v>179</v>
      </c>
      <c r="D17" s="207" t="s">
        <v>180</v>
      </c>
      <c r="E17" s="197">
        <v>880000000</v>
      </c>
      <c r="F17" s="194">
        <v>1</v>
      </c>
      <c r="G17" s="208">
        <v>34919</v>
      </c>
      <c r="H17" s="208">
        <v>35132</v>
      </c>
      <c r="I17" s="170" t="s">
        <v>29</v>
      </c>
      <c r="J17" s="170" t="s">
        <v>58</v>
      </c>
      <c r="K17" s="111" t="s">
        <v>107</v>
      </c>
      <c r="L17" s="111" t="s">
        <v>107</v>
      </c>
      <c r="M17" s="111"/>
      <c r="N17" s="130" t="s">
        <v>107</v>
      </c>
    </row>
    <row r="18" spans="2:14" ht="15.75" thickBot="1">
      <c r="B18" s="135"/>
      <c r="C18" s="136"/>
      <c r="D18" s="136"/>
      <c r="E18" s="136"/>
      <c r="F18" s="136"/>
      <c r="G18" s="136"/>
      <c r="H18" s="136"/>
      <c r="I18" s="137"/>
      <c r="J18" s="137"/>
      <c r="K18" s="137"/>
      <c r="L18" s="137"/>
      <c r="M18" s="137"/>
      <c r="N18" s="137"/>
    </row>
    <row r="19" spans="2:14" ht="19.5" thickBot="1">
      <c r="B19" s="138"/>
      <c r="C19" s="138"/>
      <c r="D19" s="138"/>
      <c r="E19" s="136"/>
      <c r="F19" s="136"/>
      <c r="G19" s="136"/>
      <c r="H19" s="136"/>
      <c r="I19" s="137"/>
      <c r="J19" s="301" t="s">
        <v>108</v>
      </c>
      <c r="K19" s="302"/>
      <c r="L19" s="303">
        <v>900</v>
      </c>
      <c r="M19" s="304"/>
      <c r="N19" s="305"/>
    </row>
    <row r="21" spans="2:14">
      <c r="C21" s="88" t="s">
        <v>114</v>
      </c>
    </row>
    <row r="22" spans="2:14" ht="21" customHeight="1">
      <c r="C22" s="148" t="s">
        <v>124</v>
      </c>
    </row>
  </sheetData>
  <mergeCells count="9">
    <mergeCell ref="B13:H13"/>
    <mergeCell ref="J19:K19"/>
    <mergeCell ref="L19:N19"/>
    <mergeCell ref="B3:N3"/>
    <mergeCell ref="B4:N4"/>
    <mergeCell ref="B5:N5"/>
    <mergeCell ref="B6:N6"/>
    <mergeCell ref="C9:M9"/>
    <mergeCell ref="C10:M10"/>
  </mergeCells>
  <pageMargins left="0.70866141732283472" right="0.70866141732283472" top="0.74803149606299213" bottom="0.74803149606299213" header="0.31496062992125984" footer="0.31496062992125984"/>
  <pageSetup scale="44" orientation="landscape" horizontalDpi="0"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N22"/>
  <sheetViews>
    <sheetView topLeftCell="A12" zoomScale="85" zoomScaleNormal="85" workbookViewId="0">
      <selection activeCell="I16" sqref="I16"/>
    </sheetView>
  </sheetViews>
  <sheetFormatPr baseColWidth="10" defaultRowHeight="12.75"/>
  <cols>
    <col min="2" max="2" width="4" customWidth="1"/>
    <col min="3" max="3" width="32.7109375" customWidth="1"/>
    <col min="4" max="4" width="47.28515625" customWidth="1"/>
    <col min="5" max="5" width="23.28515625" customWidth="1"/>
    <col min="6" max="6" width="21.7109375" customWidth="1"/>
    <col min="7" max="7" width="17.28515625" customWidth="1"/>
    <col min="8" max="8" width="17.85546875" customWidth="1"/>
    <col min="9" max="9" width="17.42578125" customWidth="1"/>
    <col min="10" max="11" width="15.42578125" customWidth="1"/>
    <col min="12" max="12" width="18.28515625" customWidth="1"/>
    <col min="13" max="13" width="19.42578125" customWidth="1"/>
    <col min="14" max="14" width="16.5703125" customWidth="1"/>
  </cols>
  <sheetData>
    <row r="3" spans="2:14" ht="18.75">
      <c r="B3" s="277" t="s">
        <v>21</v>
      </c>
      <c r="C3" s="277"/>
      <c r="D3" s="277"/>
      <c r="E3" s="277"/>
      <c r="F3" s="277"/>
      <c r="G3" s="277"/>
      <c r="H3" s="277"/>
      <c r="I3" s="277"/>
      <c r="J3" s="277"/>
      <c r="K3" s="277"/>
      <c r="L3" s="277"/>
      <c r="M3" s="277"/>
      <c r="N3" s="277"/>
    </row>
    <row r="4" spans="2:14" ht="49.5" customHeight="1">
      <c r="B4" s="277" t="s">
        <v>22</v>
      </c>
      <c r="C4" s="277"/>
      <c r="D4" s="277"/>
      <c r="E4" s="277"/>
      <c r="F4" s="277"/>
      <c r="G4" s="277"/>
      <c r="H4" s="277"/>
      <c r="I4" s="277"/>
      <c r="J4" s="277"/>
      <c r="K4" s="277"/>
      <c r="L4" s="277"/>
      <c r="M4" s="277"/>
      <c r="N4" s="277"/>
    </row>
    <row r="5" spans="2:14" ht="18.75">
      <c r="B5" s="288" t="s">
        <v>109</v>
      </c>
      <c r="C5" s="288"/>
      <c r="D5" s="288"/>
      <c r="E5" s="288"/>
      <c r="F5" s="288"/>
      <c r="G5" s="288"/>
      <c r="H5" s="288"/>
      <c r="I5" s="288"/>
      <c r="J5" s="288"/>
      <c r="K5" s="288"/>
      <c r="L5" s="288"/>
      <c r="M5" s="288"/>
      <c r="N5" s="288"/>
    </row>
    <row r="6" spans="2:14" ht="18.75">
      <c r="B6" s="288" t="s">
        <v>103</v>
      </c>
      <c r="C6" s="288"/>
      <c r="D6" s="288"/>
      <c r="E6" s="288"/>
      <c r="F6" s="288"/>
      <c r="G6" s="288"/>
      <c r="H6" s="288"/>
      <c r="I6" s="288"/>
      <c r="J6" s="288"/>
      <c r="K6" s="288"/>
      <c r="L6" s="288"/>
      <c r="M6" s="288"/>
      <c r="N6" s="288"/>
    </row>
    <row r="7" spans="2:14" ht="18.75">
      <c r="B7" s="120"/>
      <c r="C7" s="120"/>
      <c r="D7" s="120"/>
      <c r="E7" s="120"/>
      <c r="F7" s="120"/>
      <c r="G7" s="120"/>
      <c r="H7" s="120"/>
      <c r="I7" s="119"/>
      <c r="J7" s="119"/>
      <c r="K7" s="119"/>
      <c r="L7" s="119"/>
      <c r="M7" s="119"/>
      <c r="N7" s="119"/>
    </row>
    <row r="8" spans="2:14" ht="15.75">
      <c r="B8" s="1"/>
      <c r="C8" s="1"/>
      <c r="D8" s="1"/>
      <c r="E8" s="1"/>
      <c r="F8" s="1"/>
      <c r="G8" s="1"/>
      <c r="H8" s="1"/>
      <c r="I8" s="119"/>
      <c r="J8" s="119"/>
      <c r="K8" s="119"/>
      <c r="L8" s="119"/>
      <c r="M8" s="119"/>
      <c r="N8" s="119"/>
    </row>
    <row r="9" spans="2:14" ht="15.75">
      <c r="B9" s="119"/>
      <c r="C9" s="280" t="s">
        <v>149</v>
      </c>
      <c r="D9" s="280"/>
      <c r="E9" s="280"/>
      <c r="F9" s="280"/>
      <c r="G9" s="280"/>
      <c r="H9" s="280"/>
      <c r="I9" s="280"/>
      <c r="J9" s="280"/>
      <c r="K9" s="280"/>
      <c r="L9" s="280"/>
      <c r="M9" s="280"/>
      <c r="N9" s="119"/>
    </row>
    <row r="10" spans="2:14" ht="15.75">
      <c r="B10" s="119"/>
      <c r="C10" s="280" t="s">
        <v>150</v>
      </c>
      <c r="D10" s="280"/>
      <c r="E10" s="280"/>
      <c r="F10" s="280"/>
      <c r="G10" s="280"/>
      <c r="H10" s="280"/>
      <c r="I10" s="280"/>
      <c r="J10" s="280"/>
      <c r="K10" s="280"/>
      <c r="L10" s="280"/>
      <c r="M10" s="280"/>
      <c r="N10" s="119"/>
    </row>
    <row r="11" spans="2:14" ht="15.75">
      <c r="B11" s="2"/>
      <c r="C11" s="2"/>
      <c r="D11" s="2"/>
      <c r="E11" s="2"/>
      <c r="F11" s="2"/>
      <c r="G11" s="2"/>
      <c r="H11" s="2"/>
      <c r="I11" s="119"/>
      <c r="J11" s="119"/>
      <c r="K11" s="119"/>
      <c r="L11" s="119"/>
      <c r="M11" s="119"/>
      <c r="N11" s="119"/>
    </row>
    <row r="12" spans="2:14" ht="15.75">
      <c r="B12" s="2"/>
      <c r="C12" s="2"/>
      <c r="D12" s="2"/>
      <c r="E12" s="2"/>
      <c r="F12" s="2"/>
      <c r="G12" s="2"/>
      <c r="H12" s="2"/>
      <c r="I12" s="119"/>
      <c r="J12" s="119"/>
      <c r="K12" s="119"/>
      <c r="L12" s="119"/>
      <c r="M12" s="119"/>
      <c r="N12" s="119"/>
    </row>
    <row r="13" spans="2:14" ht="16.5" thickBot="1">
      <c r="B13" s="267"/>
      <c r="C13" s="267"/>
      <c r="D13" s="267"/>
      <c r="E13" s="267"/>
      <c r="F13" s="267"/>
      <c r="G13" s="267"/>
      <c r="H13" s="267"/>
      <c r="I13" s="119"/>
      <c r="J13" s="119"/>
      <c r="K13" s="119"/>
      <c r="L13" s="119"/>
      <c r="M13" s="119"/>
      <c r="N13" s="119"/>
    </row>
    <row r="14" spans="2:14" ht="105.75" customHeight="1" thickBot="1">
      <c r="B14" s="121"/>
      <c r="C14" s="122" t="s">
        <v>104</v>
      </c>
      <c r="D14" s="122" t="s">
        <v>2</v>
      </c>
      <c r="E14" s="122" t="s">
        <v>105</v>
      </c>
      <c r="F14" s="122" t="s">
        <v>17</v>
      </c>
      <c r="G14" s="122" t="s">
        <v>3</v>
      </c>
      <c r="H14" s="122" t="s">
        <v>4</v>
      </c>
      <c r="I14" s="122" t="s">
        <v>6</v>
      </c>
      <c r="J14" s="122" t="s">
        <v>7</v>
      </c>
      <c r="K14" s="122" t="s">
        <v>127</v>
      </c>
      <c r="L14" s="122" t="s">
        <v>126</v>
      </c>
      <c r="M14" s="122" t="s">
        <v>125</v>
      </c>
      <c r="N14" s="123" t="s">
        <v>106</v>
      </c>
    </row>
    <row r="15" spans="2:14" ht="72" customHeight="1">
      <c r="B15" s="118">
        <v>1</v>
      </c>
      <c r="C15" s="171" t="s">
        <v>151</v>
      </c>
      <c r="D15" s="91" t="s">
        <v>71</v>
      </c>
      <c r="E15" s="140">
        <v>1301779932.1775672</v>
      </c>
      <c r="F15" s="169">
        <v>1</v>
      </c>
      <c r="G15" s="168">
        <v>36845</v>
      </c>
      <c r="H15" s="168">
        <v>39263</v>
      </c>
      <c r="I15" s="170" t="s">
        <v>41</v>
      </c>
      <c r="J15" s="170" t="s">
        <v>153</v>
      </c>
      <c r="K15" s="125" t="s">
        <v>107</v>
      </c>
      <c r="L15" s="125" t="s">
        <v>107</v>
      </c>
      <c r="M15" s="139" t="s">
        <v>107</v>
      </c>
      <c r="N15" s="126" t="s">
        <v>107</v>
      </c>
    </row>
    <row r="16" spans="2:14" ht="72.75" customHeight="1">
      <c r="B16" s="127">
        <v>2</v>
      </c>
      <c r="C16" s="171" t="s">
        <v>151</v>
      </c>
      <c r="D16" s="91" t="s">
        <v>72</v>
      </c>
      <c r="E16" s="140">
        <v>2282848801.6936517</v>
      </c>
      <c r="F16" s="169">
        <v>0.5</v>
      </c>
      <c r="G16" s="168">
        <v>37407</v>
      </c>
      <c r="H16" s="168">
        <v>38929</v>
      </c>
      <c r="I16" s="170" t="s">
        <v>41</v>
      </c>
      <c r="J16" s="170" t="s">
        <v>153</v>
      </c>
      <c r="K16" s="111" t="s">
        <v>107</v>
      </c>
      <c r="L16" s="111" t="s">
        <v>107</v>
      </c>
      <c r="M16" s="111"/>
      <c r="N16" s="130" t="s">
        <v>107</v>
      </c>
    </row>
    <row r="17" spans="2:14" ht="72" customHeight="1">
      <c r="B17" s="127">
        <v>3</v>
      </c>
      <c r="C17" s="171" t="s">
        <v>152</v>
      </c>
      <c r="D17" s="91" t="s">
        <v>73</v>
      </c>
      <c r="E17" s="172">
        <v>38793103</v>
      </c>
      <c r="F17" s="169">
        <v>1</v>
      </c>
      <c r="G17" s="113">
        <v>35796</v>
      </c>
      <c r="H17" s="113">
        <v>35870</v>
      </c>
      <c r="I17" s="170" t="s">
        <v>29</v>
      </c>
      <c r="J17" s="170" t="s">
        <v>30</v>
      </c>
      <c r="K17" s="111" t="s">
        <v>107</v>
      </c>
      <c r="L17" s="111" t="s">
        <v>107</v>
      </c>
      <c r="M17" s="111"/>
      <c r="N17" s="130" t="s">
        <v>107</v>
      </c>
    </row>
    <row r="18" spans="2:14" ht="15.75" thickBot="1">
      <c r="B18" s="135"/>
      <c r="C18" s="136"/>
      <c r="D18" s="136"/>
      <c r="E18" s="136"/>
      <c r="F18" s="136"/>
      <c r="G18" s="136"/>
      <c r="H18" s="136"/>
      <c r="I18" s="137"/>
      <c r="J18" s="137"/>
      <c r="K18" s="137"/>
      <c r="L18" s="137"/>
      <c r="M18" s="137"/>
      <c r="N18" s="137"/>
    </row>
    <row r="19" spans="2:14" ht="19.5" thickBot="1">
      <c r="B19" s="138"/>
      <c r="C19" s="138"/>
      <c r="D19" s="138"/>
      <c r="E19" s="136"/>
      <c r="F19" s="136"/>
      <c r="G19" s="136"/>
      <c r="H19" s="136"/>
      <c r="I19" s="137"/>
      <c r="J19" s="301" t="s">
        <v>108</v>
      </c>
      <c r="K19" s="302"/>
      <c r="L19" s="303">
        <v>900</v>
      </c>
      <c r="M19" s="304"/>
      <c r="N19" s="305"/>
    </row>
    <row r="21" spans="2:14">
      <c r="C21" s="88" t="s">
        <v>114</v>
      </c>
    </row>
    <row r="22" spans="2:14" ht="21" customHeight="1">
      <c r="C22" s="148" t="s">
        <v>124</v>
      </c>
    </row>
  </sheetData>
  <mergeCells count="9">
    <mergeCell ref="B13:H13"/>
    <mergeCell ref="J19:K19"/>
    <mergeCell ref="L19:N19"/>
    <mergeCell ref="B3:N3"/>
    <mergeCell ref="B4:N4"/>
    <mergeCell ref="B5:N5"/>
    <mergeCell ref="B6:N6"/>
    <mergeCell ref="C9:M9"/>
    <mergeCell ref="C10:M10"/>
  </mergeCells>
  <pageMargins left="0.70866141732283472" right="0.70866141732283472" top="0.74803149606299213" bottom="0.74803149606299213" header="0.31496062992125984" footer="0.31496062992125984"/>
  <pageSetup scale="44" orientation="landscape" horizontalDpi="0"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29"/>
  <sheetViews>
    <sheetView topLeftCell="A7" workbookViewId="0">
      <selection activeCell="G15" sqref="G15"/>
    </sheetView>
  </sheetViews>
  <sheetFormatPr baseColWidth="10" defaultRowHeight="12.75"/>
  <cols>
    <col min="1" max="1" width="14.140625" style="119" customWidth="1"/>
    <col min="2" max="2" width="44.140625" style="119" customWidth="1"/>
    <col min="3" max="5" width="11.42578125" style="119"/>
    <col min="6" max="6" width="13.28515625" style="119" customWidth="1"/>
    <col min="7" max="7" width="37.28515625" style="119" customWidth="1"/>
    <col min="8" max="16384" width="11.42578125" style="119"/>
  </cols>
  <sheetData>
    <row r="1" spans="1:7" ht="15.75">
      <c r="A1" s="297" t="s">
        <v>76</v>
      </c>
      <c r="B1" s="297"/>
      <c r="C1" s="297"/>
      <c r="D1" s="297"/>
      <c r="E1" s="297"/>
      <c r="F1" s="297"/>
      <c r="G1" s="297"/>
    </row>
    <row r="2" spans="1:7">
      <c r="A2" s="119" t="s">
        <v>77</v>
      </c>
    </row>
    <row r="3" spans="1:7" ht="59.25" customHeight="1">
      <c r="A3" s="298" t="s">
        <v>22</v>
      </c>
      <c r="B3" s="298"/>
      <c r="C3" s="298"/>
      <c r="D3" s="298"/>
      <c r="E3" s="298"/>
      <c r="F3" s="298"/>
      <c r="G3" s="298"/>
    </row>
    <row r="4" spans="1:7" ht="15.75">
      <c r="A4" s="297" t="s">
        <v>21</v>
      </c>
      <c r="B4" s="297"/>
      <c r="C4" s="297"/>
      <c r="D4" s="297"/>
      <c r="E4" s="297"/>
      <c r="F4" s="297"/>
      <c r="G4" s="297"/>
    </row>
    <row r="5" spans="1:7">
      <c r="A5" s="299"/>
      <c r="B5" s="299"/>
      <c r="C5" s="299"/>
      <c r="D5" s="299"/>
      <c r="E5" s="299"/>
      <c r="F5" s="299"/>
      <c r="G5" s="299"/>
    </row>
    <row r="6" spans="1:7">
      <c r="A6" s="300" t="s">
        <v>154</v>
      </c>
      <c r="B6" s="300"/>
      <c r="C6" s="300"/>
      <c r="D6" s="300"/>
      <c r="E6" s="300"/>
      <c r="F6" s="300"/>
      <c r="G6" s="300"/>
    </row>
    <row r="7" spans="1:7" ht="13.5" thickBot="1"/>
    <row r="8" spans="1:7" ht="38.25" customHeight="1">
      <c r="A8" s="291" t="s">
        <v>79</v>
      </c>
      <c r="B8" s="293" t="s">
        <v>80</v>
      </c>
      <c r="C8" s="293" t="s">
        <v>155</v>
      </c>
      <c r="D8" s="293"/>
      <c r="E8" s="293"/>
      <c r="F8" s="243"/>
      <c r="G8" s="295" t="s">
        <v>82</v>
      </c>
    </row>
    <row r="9" spans="1:7" ht="13.5" thickBot="1">
      <c r="A9" s="292"/>
      <c r="B9" s="294"/>
      <c r="C9" s="244" t="s">
        <v>83</v>
      </c>
      <c r="D9" s="244" t="s">
        <v>84</v>
      </c>
      <c r="E9" s="244" t="s">
        <v>106</v>
      </c>
      <c r="F9" s="245" t="s">
        <v>100</v>
      </c>
      <c r="G9" s="296"/>
    </row>
    <row r="10" spans="1:7" ht="13.5" thickBot="1"/>
    <row r="11" spans="1:7" ht="51" customHeight="1">
      <c r="A11" s="246">
        <v>1</v>
      </c>
      <c r="B11" s="90" t="s">
        <v>25</v>
      </c>
      <c r="C11" s="247" t="s">
        <v>19</v>
      </c>
      <c r="D11" s="247" t="s">
        <v>19</v>
      </c>
      <c r="E11" s="247" t="s">
        <v>216</v>
      </c>
      <c r="F11" s="248" t="s">
        <v>102</v>
      </c>
      <c r="G11" s="249" t="s">
        <v>221</v>
      </c>
    </row>
    <row r="12" spans="1:7" ht="27" customHeight="1">
      <c r="A12" s="250">
        <v>2</v>
      </c>
      <c r="B12" s="89" t="s">
        <v>87</v>
      </c>
      <c r="C12" s="251" t="s">
        <v>19</v>
      </c>
      <c r="D12" s="251" t="s">
        <v>19</v>
      </c>
      <c r="E12" s="251">
        <v>900</v>
      </c>
      <c r="F12" s="252" t="s">
        <v>86</v>
      </c>
      <c r="G12" s="253"/>
    </row>
    <row r="13" spans="1:7" ht="27" customHeight="1">
      <c r="A13" s="250">
        <v>3</v>
      </c>
      <c r="B13" s="89" t="s">
        <v>88</v>
      </c>
      <c r="C13" s="251" t="s">
        <v>19</v>
      </c>
      <c r="D13" s="251" t="s">
        <v>19</v>
      </c>
      <c r="E13" s="251">
        <v>900</v>
      </c>
      <c r="F13" s="252" t="s">
        <v>86</v>
      </c>
      <c r="G13" s="253"/>
    </row>
    <row r="14" spans="1:7" ht="27" customHeight="1">
      <c r="A14" s="250">
        <v>4</v>
      </c>
      <c r="B14" s="89" t="s">
        <v>37</v>
      </c>
      <c r="C14" s="251" t="s">
        <v>19</v>
      </c>
      <c r="D14" s="251" t="s">
        <v>19</v>
      </c>
      <c r="E14" s="251">
        <v>900</v>
      </c>
      <c r="F14" s="252" t="s">
        <v>86</v>
      </c>
      <c r="G14" s="253"/>
    </row>
    <row r="15" spans="1:7" ht="51.75" customHeight="1" thickBot="1">
      <c r="A15" s="250">
        <v>5</v>
      </c>
      <c r="B15" s="89" t="s">
        <v>47</v>
      </c>
      <c r="C15" s="251" t="s">
        <v>19</v>
      </c>
      <c r="D15" s="251" t="s">
        <v>101</v>
      </c>
      <c r="E15" s="251" t="s">
        <v>217</v>
      </c>
      <c r="F15" s="254" t="s">
        <v>101</v>
      </c>
      <c r="G15" s="266" t="s">
        <v>219</v>
      </c>
    </row>
    <row r="16" spans="1:7" ht="27" customHeight="1">
      <c r="A16" s="250">
        <v>6</v>
      </c>
      <c r="B16" s="89" t="s">
        <v>55</v>
      </c>
      <c r="C16" s="251" t="s">
        <v>19</v>
      </c>
      <c r="D16" s="251" t="s">
        <v>19</v>
      </c>
      <c r="E16" s="251" t="s">
        <v>217</v>
      </c>
      <c r="F16" s="254" t="s">
        <v>102</v>
      </c>
      <c r="G16" s="249" t="s">
        <v>220</v>
      </c>
    </row>
    <row r="17" spans="1:7" ht="27" customHeight="1">
      <c r="A17" s="250">
        <v>7</v>
      </c>
      <c r="B17" s="89" t="s">
        <v>89</v>
      </c>
      <c r="C17" s="251" t="s">
        <v>19</v>
      </c>
      <c r="D17" s="251" t="s">
        <v>19</v>
      </c>
      <c r="E17" s="251">
        <v>800</v>
      </c>
      <c r="F17" s="252" t="s">
        <v>86</v>
      </c>
      <c r="G17" s="255"/>
    </row>
    <row r="18" spans="1:7" ht="54.75" customHeight="1">
      <c r="A18" s="250">
        <v>8</v>
      </c>
      <c r="B18" s="89" t="s">
        <v>90</v>
      </c>
      <c r="C18" s="251" t="s">
        <v>19</v>
      </c>
      <c r="D18" s="251" t="s">
        <v>19</v>
      </c>
      <c r="E18" s="264" t="s">
        <v>218</v>
      </c>
      <c r="F18" s="254" t="s">
        <v>102</v>
      </c>
      <c r="G18" s="263" t="s">
        <v>222</v>
      </c>
    </row>
    <row r="19" spans="1:7" ht="27" customHeight="1">
      <c r="A19" s="250">
        <v>9</v>
      </c>
      <c r="B19" s="89" t="s">
        <v>60</v>
      </c>
      <c r="C19" s="251" t="s">
        <v>19</v>
      </c>
      <c r="D19" s="251" t="s">
        <v>19</v>
      </c>
      <c r="E19" s="251">
        <v>900</v>
      </c>
      <c r="F19" s="252" t="s">
        <v>86</v>
      </c>
      <c r="G19" s="255"/>
    </row>
    <row r="20" spans="1:7" ht="27" customHeight="1">
      <c r="A20" s="250">
        <v>10</v>
      </c>
      <c r="B20" s="89" t="s">
        <v>91</v>
      </c>
      <c r="C20" s="251" t="s">
        <v>19</v>
      </c>
      <c r="D20" s="251" t="s">
        <v>19</v>
      </c>
      <c r="E20" s="251">
        <v>900</v>
      </c>
      <c r="F20" s="252" t="s">
        <v>86</v>
      </c>
      <c r="G20" s="255"/>
    </row>
    <row r="21" spans="1:7" ht="27" customHeight="1" thickBot="1">
      <c r="A21" s="256">
        <v>11</v>
      </c>
      <c r="B21" s="109" t="s">
        <v>68</v>
      </c>
      <c r="C21" s="257" t="s">
        <v>19</v>
      </c>
      <c r="D21" s="257" t="s">
        <v>19</v>
      </c>
      <c r="E21" s="257">
        <v>900</v>
      </c>
      <c r="F21" s="258" t="s">
        <v>86</v>
      </c>
      <c r="G21" s="259"/>
    </row>
    <row r="24" spans="1:7" ht="15.75" customHeight="1">
      <c r="A24" s="167" t="s">
        <v>92</v>
      </c>
      <c r="B24" s="311" t="s">
        <v>115</v>
      </c>
      <c r="C24" s="311"/>
      <c r="D24" s="311"/>
      <c r="E24" s="311"/>
      <c r="F24" s="311"/>
      <c r="G24" s="311"/>
    </row>
    <row r="25" spans="1:7" ht="15" customHeight="1">
      <c r="A25" s="167"/>
      <c r="B25" s="311"/>
      <c r="C25" s="311"/>
      <c r="D25" s="311"/>
      <c r="E25" s="311"/>
      <c r="F25" s="311"/>
      <c r="G25" s="311"/>
    </row>
    <row r="26" spans="1:7" ht="22.5" customHeight="1">
      <c r="A26" s="167" t="s">
        <v>94</v>
      </c>
      <c r="B26" s="311" t="s">
        <v>98</v>
      </c>
      <c r="C26" s="311"/>
      <c r="D26" s="311"/>
      <c r="E26" s="311"/>
      <c r="F26" s="311"/>
      <c r="G26" s="311"/>
    </row>
    <row r="27" spans="1:7" ht="32.25" customHeight="1">
      <c r="A27" s="167" t="s">
        <v>156</v>
      </c>
      <c r="B27" s="311" t="s">
        <v>157</v>
      </c>
      <c r="C27" s="311"/>
      <c r="D27" s="311"/>
      <c r="E27" s="311"/>
      <c r="F27" s="311"/>
      <c r="G27" s="311"/>
    </row>
    <row r="28" spans="1:7" ht="20.25" customHeight="1">
      <c r="A28" s="167"/>
      <c r="B28" s="311"/>
      <c r="C28" s="311"/>
      <c r="D28" s="311"/>
      <c r="E28" s="311"/>
      <c r="F28" s="311"/>
      <c r="G28" s="311"/>
    </row>
    <row r="29" spans="1:7" ht="15.75">
      <c r="A29" s="167"/>
      <c r="B29" s="167"/>
      <c r="C29" s="166"/>
      <c r="D29" s="166"/>
    </row>
  </sheetData>
  <mergeCells count="12">
    <mergeCell ref="B27:G28"/>
    <mergeCell ref="A1:G1"/>
    <mergeCell ref="A3:G3"/>
    <mergeCell ref="A4:G4"/>
    <mergeCell ref="A5:G5"/>
    <mergeCell ref="A6:G6"/>
    <mergeCell ref="A8:A9"/>
    <mergeCell ref="B8:B9"/>
    <mergeCell ref="C8:E8"/>
    <mergeCell ref="G8:G9"/>
    <mergeCell ref="B24:G25"/>
    <mergeCell ref="B26:G26"/>
  </mergeCells>
  <printOptions horizontalCentered="1"/>
  <pageMargins left="0.70866141732283472" right="0.70866141732283472" top="0.74803149606299213" bottom="0.74803149606299213" header="0.31496062992125984" footer="0.31496062992125984"/>
  <pageSetup scale="83"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4"/>
  <sheetViews>
    <sheetView showGridLines="0" topLeftCell="A6" zoomScale="85" zoomScaleNormal="85" zoomScalePageLayoutView="40" workbookViewId="0">
      <selection activeCell="B5" sqref="B5"/>
    </sheetView>
  </sheetViews>
  <sheetFormatPr baseColWidth="10" defaultColWidth="11.42578125" defaultRowHeight="12.75"/>
  <cols>
    <col min="1" max="1" width="6.5703125" customWidth="1"/>
    <col min="2" max="2" width="6" customWidth="1"/>
    <col min="3" max="3" width="37.28515625" customWidth="1"/>
    <col min="4" max="4" width="24.7109375" customWidth="1"/>
    <col min="5" max="5" width="15.7109375" customWidth="1"/>
    <col min="6" max="6" width="28.7109375" customWidth="1"/>
    <col min="7" max="7" width="24.7109375" customWidth="1"/>
    <col min="8" max="8" width="21.42578125" customWidth="1"/>
    <col min="9" max="9" width="23" customWidth="1"/>
    <col min="10" max="10" width="23.5703125" customWidth="1"/>
    <col min="11" max="11" width="29.85546875" customWidth="1"/>
    <col min="12" max="12" width="20.85546875" customWidth="1"/>
    <col min="13" max="14" width="21.5703125" customWidth="1"/>
    <col min="15" max="15" width="21.85546875" customWidth="1"/>
  </cols>
  <sheetData>
    <row r="1" spans="2:14" ht="18.75">
      <c r="B1" s="277" t="s">
        <v>21</v>
      </c>
      <c r="C1" s="278"/>
      <c r="D1" s="278"/>
      <c r="E1" s="278"/>
      <c r="F1" s="278"/>
      <c r="G1" s="278"/>
      <c r="H1" s="278"/>
      <c r="I1" s="278"/>
      <c r="J1" s="278"/>
      <c r="K1" s="278"/>
      <c r="L1" s="278"/>
    </row>
    <row r="2" spans="2:14" ht="59.25" customHeight="1">
      <c r="B2" s="277" t="s">
        <v>22</v>
      </c>
      <c r="C2" s="278"/>
      <c r="D2" s="278"/>
      <c r="E2" s="278"/>
      <c r="F2" s="278"/>
      <c r="G2" s="278"/>
      <c r="H2" s="278"/>
      <c r="I2" s="278"/>
      <c r="J2" s="278"/>
      <c r="K2" s="278"/>
      <c r="L2" s="278"/>
    </row>
    <row r="3" spans="2:14" ht="18.75">
      <c r="B3" s="281" t="s">
        <v>33</v>
      </c>
      <c r="C3" s="281"/>
      <c r="D3" s="281"/>
      <c r="E3" s="281"/>
      <c r="F3" s="281"/>
      <c r="G3" s="281"/>
      <c r="H3" s="281"/>
      <c r="I3" s="281"/>
      <c r="J3" s="281"/>
      <c r="K3" s="281"/>
      <c r="L3" s="281"/>
    </row>
    <row r="4" spans="2:14" ht="18.75">
      <c r="B4" s="281" t="s">
        <v>0</v>
      </c>
      <c r="C4" s="281"/>
      <c r="D4" s="281"/>
      <c r="E4" s="281"/>
      <c r="F4" s="281"/>
      <c r="G4" s="281"/>
      <c r="H4" s="281"/>
      <c r="I4" s="281"/>
      <c r="J4" s="281"/>
      <c r="K4" s="281"/>
      <c r="L4" s="281"/>
    </row>
    <row r="5" spans="2:14" ht="15.75">
      <c r="B5" s="1"/>
      <c r="C5" s="1"/>
      <c r="D5" s="1"/>
      <c r="E5" s="1"/>
      <c r="F5" s="1"/>
      <c r="G5" s="1"/>
      <c r="H5" s="1"/>
      <c r="I5" s="1"/>
      <c r="J5" s="1"/>
      <c r="K5" s="1"/>
      <c r="L5" s="1"/>
    </row>
    <row r="6" spans="2:14" ht="18.75">
      <c r="B6" s="279" t="s">
        <v>23</v>
      </c>
      <c r="C6" s="279"/>
      <c r="D6" s="280" t="s">
        <v>88</v>
      </c>
      <c r="E6" s="280"/>
      <c r="F6" s="280"/>
      <c r="G6" s="280"/>
      <c r="H6" s="280"/>
      <c r="I6" s="280"/>
      <c r="J6" s="280"/>
      <c r="K6" s="280"/>
      <c r="L6" s="280"/>
      <c r="M6" s="280"/>
    </row>
    <row r="7" spans="2:14" ht="18.75">
      <c r="B7" s="279" t="s">
        <v>24</v>
      </c>
      <c r="C7" s="279"/>
      <c r="D7" s="280" t="s">
        <v>88</v>
      </c>
      <c r="E7" s="280"/>
      <c r="F7" s="280"/>
      <c r="G7" s="280"/>
      <c r="H7" s="280"/>
      <c r="I7" s="280"/>
      <c r="J7" s="280"/>
      <c r="K7" s="280"/>
      <c r="L7" s="280"/>
      <c r="M7" s="280"/>
    </row>
    <row r="8" spans="2:14" ht="15.75">
      <c r="B8" s="2"/>
      <c r="C8" s="2"/>
      <c r="D8" s="2"/>
      <c r="E8" s="2"/>
      <c r="F8" s="2"/>
      <c r="G8" s="2"/>
      <c r="H8" s="2"/>
      <c r="I8" s="2"/>
      <c r="J8" s="2"/>
      <c r="K8" s="2"/>
      <c r="L8" s="2"/>
    </row>
    <row r="9" spans="2:14" ht="26.25" customHeight="1" thickBot="1">
      <c r="B9" s="267" t="s">
        <v>1</v>
      </c>
      <c r="C9" s="267"/>
      <c r="D9" s="267"/>
      <c r="E9" s="267"/>
      <c r="F9" s="267"/>
      <c r="G9" s="267"/>
      <c r="H9" s="267"/>
      <c r="I9" s="267"/>
      <c r="J9" s="267"/>
      <c r="K9" s="267"/>
      <c r="L9" s="267"/>
    </row>
    <row r="10" spans="2:14" ht="81" customHeight="1" thickBot="1">
      <c r="B10" s="3"/>
      <c r="C10" s="4" t="s">
        <v>2</v>
      </c>
      <c r="D10" s="4" t="s">
        <v>3</v>
      </c>
      <c r="E10" s="4" t="s">
        <v>4</v>
      </c>
      <c r="F10" s="4" t="s">
        <v>5</v>
      </c>
      <c r="G10" s="4" t="s">
        <v>6</v>
      </c>
      <c r="H10" s="4" t="s">
        <v>7</v>
      </c>
      <c r="I10" s="4" t="s">
        <v>8</v>
      </c>
      <c r="J10" s="4" t="s">
        <v>9</v>
      </c>
      <c r="K10" s="4" t="s">
        <v>10</v>
      </c>
      <c r="L10" s="4" t="s">
        <v>11</v>
      </c>
      <c r="M10" s="5" t="s">
        <v>12</v>
      </c>
    </row>
    <row r="11" spans="2:14" ht="105" customHeight="1" thickBot="1">
      <c r="B11" s="6">
        <v>1</v>
      </c>
      <c r="C11" s="193" t="s">
        <v>171</v>
      </c>
      <c r="D11" s="72">
        <v>39409</v>
      </c>
      <c r="E11" s="72">
        <v>39649</v>
      </c>
      <c r="F11" s="194">
        <v>1</v>
      </c>
      <c r="G11" s="116" t="s">
        <v>29</v>
      </c>
      <c r="H11" s="116" t="s">
        <v>30</v>
      </c>
      <c r="I11" s="69" t="s">
        <v>32</v>
      </c>
      <c r="J11" s="69" t="s">
        <v>32</v>
      </c>
      <c r="K11" s="195">
        <v>901041252</v>
      </c>
      <c r="L11" s="68"/>
      <c r="M11" s="59" t="s">
        <v>15</v>
      </c>
    </row>
    <row r="12" spans="2:14" s="31" customFormat="1" ht="59.25" customHeight="1">
      <c r="B12" s="29"/>
      <c r="C12" s="30"/>
      <c r="D12" s="30"/>
      <c r="E12" s="30"/>
      <c r="F12" s="30"/>
      <c r="I12" s="268" t="s">
        <v>16</v>
      </c>
      <c r="J12" s="269"/>
      <c r="K12" s="60">
        <f>SUM(K11:K11)</f>
        <v>901041252</v>
      </c>
      <c r="M12" s="276"/>
      <c r="N12" s="276"/>
    </row>
    <row r="13" spans="2:14" ht="68.25" customHeight="1" thickBot="1">
      <c r="B13" s="29"/>
      <c r="C13" s="30"/>
      <c r="D13" s="30"/>
      <c r="E13" s="30"/>
      <c r="F13" s="30"/>
      <c r="G13" s="32"/>
      <c r="H13" s="32"/>
      <c r="I13" s="270" t="s">
        <v>35</v>
      </c>
      <c r="J13" s="271"/>
      <c r="K13" s="272"/>
    </row>
    <row r="14" spans="2:14" ht="16.5" customHeight="1"/>
    <row r="15" spans="2:14" ht="16.5" thickBot="1">
      <c r="B15" s="267" t="s">
        <v>36</v>
      </c>
      <c r="C15" s="267"/>
      <c r="D15" s="267"/>
      <c r="E15" s="267"/>
      <c r="F15" s="267"/>
      <c r="G15" s="267"/>
      <c r="H15" s="267"/>
      <c r="I15" s="267"/>
      <c r="J15" s="267"/>
      <c r="K15" s="267"/>
      <c r="L15" s="267"/>
    </row>
    <row r="16" spans="2:14" ht="81.75" customHeight="1" thickBot="1">
      <c r="B16" s="34"/>
      <c r="C16" s="35" t="s">
        <v>2</v>
      </c>
      <c r="D16" s="35" t="s">
        <v>3</v>
      </c>
      <c r="E16" s="35" t="s">
        <v>4</v>
      </c>
      <c r="F16" s="35" t="s">
        <v>17</v>
      </c>
      <c r="G16" s="35" t="s">
        <v>6</v>
      </c>
      <c r="H16" s="35" t="s">
        <v>7</v>
      </c>
      <c r="I16" s="35" t="s">
        <v>8</v>
      </c>
      <c r="J16" s="35" t="s">
        <v>9</v>
      </c>
      <c r="K16" s="35" t="s">
        <v>10</v>
      </c>
      <c r="L16" s="35" t="s">
        <v>11</v>
      </c>
      <c r="M16" s="36" t="s">
        <v>12</v>
      </c>
    </row>
    <row r="17" spans="2:13" s="44" customFormat="1" ht="49.5" customHeight="1" thickBot="1">
      <c r="B17" s="37">
        <v>1</v>
      </c>
      <c r="C17" s="38" t="s">
        <v>32</v>
      </c>
      <c r="D17" s="39" t="s">
        <v>32</v>
      </c>
      <c r="E17" s="39" t="s">
        <v>32</v>
      </c>
      <c r="F17" s="40" t="s">
        <v>32</v>
      </c>
      <c r="G17" s="41" t="s">
        <v>32</v>
      </c>
      <c r="H17" s="38" t="s">
        <v>32</v>
      </c>
      <c r="I17" s="41" t="s">
        <v>32</v>
      </c>
      <c r="J17" s="42" t="s">
        <v>32</v>
      </c>
      <c r="K17" s="61"/>
      <c r="L17" s="27" t="s">
        <v>32</v>
      </c>
      <c r="M17" s="43" t="s">
        <v>32</v>
      </c>
    </row>
    <row r="18" spans="2:13" s="31" customFormat="1" ht="45" customHeight="1" thickBot="1">
      <c r="B18" s="29"/>
      <c r="C18" s="30"/>
      <c r="D18" s="30"/>
      <c r="E18" s="30"/>
      <c r="F18" s="30"/>
      <c r="I18" s="32"/>
      <c r="J18" s="33" t="s">
        <v>20</v>
      </c>
      <c r="K18" s="62">
        <f>SUM(K17)</f>
        <v>0</v>
      </c>
    </row>
    <row r="19" spans="2:13" s="31" customFormat="1" ht="13.5" thickBot="1">
      <c r="B19" s="30"/>
      <c r="C19" s="30"/>
      <c r="D19" s="30"/>
      <c r="E19" s="30"/>
      <c r="F19" s="30"/>
      <c r="G19" s="30"/>
      <c r="H19" s="30"/>
      <c r="I19" s="30"/>
      <c r="J19" s="30"/>
      <c r="K19" s="30"/>
    </row>
    <row r="20" spans="2:13" s="31" customFormat="1" ht="59.25" customHeight="1" thickBot="1">
      <c r="B20" s="30"/>
      <c r="C20" s="30"/>
      <c r="D20" s="30"/>
      <c r="E20" s="30"/>
      <c r="F20" s="30"/>
      <c r="G20" s="30"/>
      <c r="H20" s="30"/>
      <c r="I20" s="30"/>
      <c r="J20" s="45" t="s">
        <v>26</v>
      </c>
      <c r="K20" s="74">
        <f>+K12+K18</f>
        <v>901041252</v>
      </c>
      <c r="L20" s="46" t="str">
        <f>IF(K20&gt;1.5*461942280,"CUMPLE","NO CUMPLE")</f>
        <v>CUMPLE</v>
      </c>
    </row>
    <row r="21" spans="2:13">
      <c r="J21" s="273" t="s">
        <v>34</v>
      </c>
      <c r="K21" s="274"/>
      <c r="L21" s="274"/>
    </row>
    <row r="22" spans="2:13">
      <c r="J22" s="275"/>
      <c r="K22" s="275"/>
      <c r="L22" s="275"/>
    </row>
    <row r="23" spans="2:13">
      <c r="J23" s="275"/>
      <c r="K23" s="275"/>
      <c r="L23" s="275"/>
    </row>
    <row r="24" spans="2:13">
      <c r="J24" s="275"/>
      <c r="K24" s="275"/>
      <c r="L24" s="275"/>
    </row>
  </sheetData>
  <mergeCells count="14">
    <mergeCell ref="B15:L15"/>
    <mergeCell ref="J21:L24"/>
    <mergeCell ref="B7:C7"/>
    <mergeCell ref="D7:M7"/>
    <mergeCell ref="B9:L9"/>
    <mergeCell ref="I12:J12"/>
    <mergeCell ref="M12:N12"/>
    <mergeCell ref="I13:K13"/>
    <mergeCell ref="B1:L1"/>
    <mergeCell ref="B2:L2"/>
    <mergeCell ref="B3:L3"/>
    <mergeCell ref="B4:L4"/>
    <mergeCell ref="B6:C6"/>
    <mergeCell ref="D6:M6"/>
  </mergeCells>
  <pageMargins left="0.74803149606299213" right="0.74803149606299213" top="0.98425196850393704" bottom="0.98425196850393704" header="0.51181102362204722" footer="0.51181102362204722"/>
  <pageSetup scale="3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7"/>
  <sheetViews>
    <sheetView showGridLines="0" topLeftCell="A5" zoomScale="85" zoomScaleNormal="85" zoomScalePageLayoutView="40" workbookViewId="0">
      <selection activeCell="K21" sqref="K21"/>
    </sheetView>
  </sheetViews>
  <sheetFormatPr baseColWidth="10" defaultColWidth="11.42578125" defaultRowHeight="12.75"/>
  <cols>
    <col min="1" max="1" width="6.5703125" customWidth="1"/>
    <col min="2" max="2" width="6" customWidth="1"/>
    <col min="3" max="3" width="37.28515625" customWidth="1"/>
    <col min="4" max="4" width="24.7109375" customWidth="1"/>
    <col min="5" max="5" width="15.7109375" customWidth="1"/>
    <col min="6" max="6" width="28.7109375" customWidth="1"/>
    <col min="7" max="7" width="24.7109375" customWidth="1"/>
    <col min="8" max="8" width="21.42578125" customWidth="1"/>
    <col min="9" max="9" width="23" customWidth="1"/>
    <col min="10" max="10" width="23.5703125" customWidth="1"/>
    <col min="11" max="11" width="29.85546875" customWidth="1"/>
    <col min="12" max="12" width="20.85546875" customWidth="1"/>
    <col min="13" max="14" width="21.5703125" customWidth="1"/>
    <col min="15" max="15" width="21.85546875" customWidth="1"/>
  </cols>
  <sheetData>
    <row r="1" spans="2:14" ht="18.75">
      <c r="B1" s="277" t="s">
        <v>21</v>
      </c>
      <c r="C1" s="278"/>
      <c r="D1" s="278"/>
      <c r="E1" s="278"/>
      <c r="F1" s="278"/>
      <c r="G1" s="278"/>
      <c r="H1" s="278"/>
      <c r="I1" s="278"/>
      <c r="J1" s="278"/>
      <c r="K1" s="278"/>
      <c r="L1" s="278"/>
    </row>
    <row r="2" spans="2:14" ht="59.25" customHeight="1">
      <c r="B2" s="277" t="s">
        <v>22</v>
      </c>
      <c r="C2" s="278"/>
      <c r="D2" s="278"/>
      <c r="E2" s="278"/>
      <c r="F2" s="278"/>
      <c r="G2" s="278"/>
      <c r="H2" s="278"/>
      <c r="I2" s="278"/>
      <c r="J2" s="278"/>
      <c r="K2" s="278"/>
      <c r="L2" s="278"/>
    </row>
    <row r="3" spans="2:14" ht="18.75">
      <c r="B3" s="281" t="s">
        <v>33</v>
      </c>
      <c r="C3" s="281"/>
      <c r="D3" s="281"/>
      <c r="E3" s="281"/>
      <c r="F3" s="281"/>
      <c r="G3" s="281"/>
      <c r="H3" s="281"/>
      <c r="I3" s="281"/>
      <c r="J3" s="281"/>
      <c r="K3" s="281"/>
      <c r="L3" s="281"/>
    </row>
    <row r="4" spans="2:14" ht="18.75">
      <c r="B4" s="281" t="s">
        <v>0</v>
      </c>
      <c r="C4" s="281"/>
      <c r="D4" s="281"/>
      <c r="E4" s="281"/>
      <c r="F4" s="281"/>
      <c r="G4" s="281"/>
      <c r="H4" s="281"/>
      <c r="I4" s="281"/>
      <c r="J4" s="281"/>
      <c r="K4" s="281"/>
      <c r="L4" s="281"/>
    </row>
    <row r="5" spans="2:14" ht="15.75">
      <c r="B5" s="1"/>
      <c r="C5" s="1"/>
      <c r="D5" s="1"/>
      <c r="E5" s="1"/>
      <c r="F5" s="1"/>
      <c r="G5" s="1"/>
      <c r="H5" s="1"/>
      <c r="I5" s="1"/>
      <c r="J5" s="1"/>
      <c r="K5" s="1"/>
      <c r="L5" s="1"/>
    </row>
    <row r="6" spans="2:14" ht="18.75">
      <c r="B6" s="279" t="s">
        <v>23</v>
      </c>
      <c r="C6" s="279"/>
      <c r="D6" s="280" t="s">
        <v>37</v>
      </c>
      <c r="E6" s="280"/>
      <c r="F6" s="280"/>
      <c r="G6" s="280"/>
      <c r="H6" s="280"/>
      <c r="I6" s="280"/>
      <c r="J6" s="280"/>
      <c r="K6" s="280"/>
      <c r="L6" s="280"/>
      <c r="M6" s="280"/>
    </row>
    <row r="7" spans="2:14" ht="18.75">
      <c r="B7" s="279" t="s">
        <v>24</v>
      </c>
      <c r="C7" s="279"/>
      <c r="D7" s="280" t="s">
        <v>38</v>
      </c>
      <c r="E7" s="280"/>
      <c r="F7" s="280"/>
      <c r="G7" s="280"/>
      <c r="H7" s="280"/>
      <c r="I7" s="280"/>
      <c r="J7" s="280"/>
      <c r="K7" s="280"/>
      <c r="L7" s="280"/>
      <c r="M7" s="280"/>
    </row>
    <row r="8" spans="2:14" ht="15.75">
      <c r="B8" s="2"/>
      <c r="C8" s="2"/>
      <c r="D8" s="2"/>
      <c r="E8" s="2"/>
      <c r="F8" s="2"/>
      <c r="G8" s="2"/>
      <c r="H8" s="2"/>
      <c r="I8" s="2"/>
      <c r="J8" s="2"/>
      <c r="K8" s="2"/>
      <c r="L8" s="2"/>
    </row>
    <row r="9" spans="2:14" ht="26.25" customHeight="1" thickBot="1">
      <c r="B9" s="267" t="s">
        <v>1</v>
      </c>
      <c r="C9" s="267"/>
      <c r="D9" s="267"/>
      <c r="E9" s="267"/>
      <c r="F9" s="267"/>
      <c r="G9" s="267"/>
      <c r="H9" s="267"/>
      <c r="I9" s="267"/>
      <c r="J9" s="267"/>
      <c r="K9" s="267"/>
      <c r="L9" s="267"/>
    </row>
    <row r="10" spans="2:14" ht="81" customHeight="1" thickBot="1">
      <c r="B10" s="3"/>
      <c r="C10" s="4" t="s">
        <v>2</v>
      </c>
      <c r="D10" s="4" t="s">
        <v>3</v>
      </c>
      <c r="E10" s="4" t="s">
        <v>4</v>
      </c>
      <c r="F10" s="4" t="s">
        <v>5</v>
      </c>
      <c r="G10" s="4" t="s">
        <v>6</v>
      </c>
      <c r="H10" s="4" t="s">
        <v>7</v>
      </c>
      <c r="I10" s="4" t="s">
        <v>8</v>
      </c>
      <c r="J10" s="4" t="s">
        <v>9</v>
      </c>
      <c r="K10" s="4" t="s">
        <v>10</v>
      </c>
      <c r="L10" s="4" t="s">
        <v>11</v>
      </c>
      <c r="M10" s="5" t="s">
        <v>12</v>
      </c>
    </row>
    <row r="11" spans="2:14" ht="69" customHeight="1">
      <c r="B11" s="6">
        <v>1</v>
      </c>
      <c r="C11" s="94" t="s">
        <v>40</v>
      </c>
      <c r="D11" s="92">
        <v>38270</v>
      </c>
      <c r="E11" s="92">
        <v>38564</v>
      </c>
      <c r="F11" s="93">
        <v>1</v>
      </c>
      <c r="G11" s="94" t="s">
        <v>41</v>
      </c>
      <c r="H11" s="95" t="s">
        <v>43</v>
      </c>
      <c r="I11" s="96">
        <v>316216</v>
      </c>
      <c r="J11" s="69">
        <f>I11*1.2315</f>
        <v>389420.00400000002</v>
      </c>
      <c r="K11" s="73">
        <f>J11*2583.74</f>
        <v>1006160041.1349599</v>
      </c>
      <c r="L11" s="68">
        <f>+K11/358000</f>
        <v>2810.502908198212</v>
      </c>
      <c r="M11" s="59" t="s">
        <v>15</v>
      </c>
    </row>
    <row r="12" spans="2:14" ht="67.5" customHeight="1">
      <c r="B12" s="8">
        <v>2</v>
      </c>
      <c r="C12" s="94" t="s">
        <v>42</v>
      </c>
      <c r="D12" s="92">
        <v>37996</v>
      </c>
      <c r="E12" s="92">
        <v>38382</v>
      </c>
      <c r="F12" s="93">
        <v>1</v>
      </c>
      <c r="G12" s="94" t="s">
        <v>41</v>
      </c>
      <c r="H12" s="95" t="s">
        <v>44</v>
      </c>
      <c r="I12" s="96">
        <v>104400</v>
      </c>
      <c r="J12" s="65">
        <f>I12*1.2737</f>
        <v>132974.28</v>
      </c>
      <c r="K12" s="64">
        <f>J12*2754.33</f>
        <v>366255048.63239998</v>
      </c>
      <c r="L12" s="63">
        <f>+K12/515000</f>
        <v>711.17485171339797</v>
      </c>
      <c r="M12" s="58" t="s">
        <v>15</v>
      </c>
    </row>
    <row r="13" spans="2:14" ht="48.75" customHeight="1">
      <c r="B13" s="8">
        <v>3</v>
      </c>
      <c r="C13" s="9"/>
      <c r="D13" s="17"/>
      <c r="E13" s="10"/>
      <c r="F13" s="11"/>
      <c r="G13" s="12"/>
      <c r="H13" s="75"/>
      <c r="I13" s="13"/>
      <c r="J13" s="13"/>
      <c r="K13" s="14"/>
      <c r="L13" s="15"/>
      <c r="M13" s="16"/>
    </row>
    <row r="14" spans="2:14" ht="69" customHeight="1" thickBot="1">
      <c r="B14" s="18">
        <v>4</v>
      </c>
      <c r="C14" s="19"/>
      <c r="D14" s="20"/>
      <c r="E14" s="21"/>
      <c r="F14" s="22"/>
      <c r="G14" s="23"/>
      <c r="H14" s="24"/>
      <c r="I14" s="25"/>
      <c r="J14" s="25"/>
      <c r="K14" s="26"/>
      <c r="L14" s="27"/>
      <c r="M14" s="28"/>
    </row>
    <row r="15" spans="2:14" s="31" customFormat="1" ht="59.25" customHeight="1">
      <c r="B15" s="29"/>
      <c r="C15" s="30"/>
      <c r="D15" s="30"/>
      <c r="E15" s="30"/>
      <c r="F15" s="30"/>
      <c r="I15" s="268" t="s">
        <v>16</v>
      </c>
      <c r="J15" s="269"/>
      <c r="K15" s="60">
        <f>SUM(K11:K14)</f>
        <v>1372415089.76736</v>
      </c>
      <c r="M15" s="276"/>
      <c r="N15" s="276"/>
    </row>
    <row r="16" spans="2:14" ht="68.25" customHeight="1" thickBot="1">
      <c r="B16" s="29"/>
      <c r="C16" s="30"/>
      <c r="D16" s="30"/>
      <c r="E16" s="30"/>
      <c r="F16" s="30"/>
      <c r="G16" s="32"/>
      <c r="H16" s="32"/>
      <c r="I16" s="270" t="s">
        <v>35</v>
      </c>
      <c r="J16" s="271"/>
      <c r="K16" s="272"/>
    </row>
    <row r="17" spans="2:13" ht="16.5" customHeight="1"/>
    <row r="18" spans="2:13" ht="16.5" thickBot="1">
      <c r="B18" s="267" t="s">
        <v>39</v>
      </c>
      <c r="C18" s="267"/>
      <c r="D18" s="267"/>
      <c r="E18" s="267"/>
      <c r="F18" s="267"/>
      <c r="G18" s="267"/>
      <c r="H18" s="267"/>
      <c r="I18" s="267"/>
      <c r="J18" s="267"/>
      <c r="K18" s="267"/>
      <c r="L18" s="267"/>
    </row>
    <row r="19" spans="2:13" ht="81.75" customHeight="1" thickBot="1">
      <c r="B19" s="34"/>
      <c r="C19" s="35" t="s">
        <v>2</v>
      </c>
      <c r="D19" s="35" t="s">
        <v>3</v>
      </c>
      <c r="E19" s="35" t="s">
        <v>4</v>
      </c>
      <c r="F19" s="35" t="s">
        <v>17</v>
      </c>
      <c r="G19" s="35" t="s">
        <v>6</v>
      </c>
      <c r="H19" s="35" t="s">
        <v>7</v>
      </c>
      <c r="I19" s="35" t="s">
        <v>8</v>
      </c>
      <c r="J19" s="35" t="s">
        <v>9</v>
      </c>
      <c r="K19" s="35" t="s">
        <v>10</v>
      </c>
      <c r="L19" s="35" t="s">
        <v>11</v>
      </c>
      <c r="M19" s="36" t="s">
        <v>12</v>
      </c>
    </row>
    <row r="20" spans="2:13" s="44" customFormat="1" ht="93" customHeight="1" thickBot="1">
      <c r="B20" s="37">
        <v>1</v>
      </c>
      <c r="C20" s="38" t="s">
        <v>45</v>
      </c>
      <c r="D20" s="98">
        <v>39806</v>
      </c>
      <c r="E20" s="98">
        <v>40375</v>
      </c>
      <c r="F20" s="99">
        <v>0.5</v>
      </c>
      <c r="G20" s="97" t="s">
        <v>18</v>
      </c>
      <c r="H20" s="75" t="s">
        <v>46</v>
      </c>
      <c r="I20" s="41" t="s">
        <v>32</v>
      </c>
      <c r="J20" s="42" t="s">
        <v>32</v>
      </c>
      <c r="K20" s="55">
        <v>203781689.5</v>
      </c>
      <c r="L20" s="27">
        <f>K20/461500</f>
        <v>441.56379089924161</v>
      </c>
      <c r="M20" s="43" t="s">
        <v>19</v>
      </c>
    </row>
    <row r="21" spans="2:13" s="31" customFormat="1" ht="45" customHeight="1" thickBot="1">
      <c r="B21" s="29"/>
      <c r="C21" s="30"/>
      <c r="D21" s="30"/>
      <c r="E21" s="30"/>
      <c r="F21" s="30"/>
      <c r="I21" s="32"/>
      <c r="J21" s="33" t="s">
        <v>20</v>
      </c>
      <c r="K21" s="62">
        <f>SUM(K20)</f>
        <v>203781689.5</v>
      </c>
    </row>
    <row r="22" spans="2:13" s="31" customFormat="1" ht="13.5" thickBot="1">
      <c r="B22" s="30"/>
      <c r="C22" s="30"/>
      <c r="D22" s="30"/>
      <c r="E22" s="30"/>
      <c r="F22" s="30"/>
      <c r="G22" s="30"/>
      <c r="H22" s="30"/>
      <c r="I22" s="30"/>
      <c r="J22" s="30"/>
      <c r="K22" s="30"/>
    </row>
    <row r="23" spans="2:13" s="31" customFormat="1" ht="59.25" customHeight="1" thickBot="1">
      <c r="B23" s="30"/>
      <c r="C23" s="30"/>
      <c r="D23" s="30"/>
      <c r="E23" s="30"/>
      <c r="F23" s="30"/>
      <c r="G23" s="30"/>
      <c r="H23" s="30"/>
      <c r="I23" s="30"/>
      <c r="J23" s="45" t="s">
        <v>26</v>
      </c>
      <c r="K23" s="74">
        <f>+K15+K21</f>
        <v>1576196779.26736</v>
      </c>
      <c r="L23" s="46" t="str">
        <f>IF(K23&gt;1.5*461942280,"CUMPLE","NO CUMPLE")</f>
        <v>CUMPLE</v>
      </c>
    </row>
    <row r="24" spans="2:13">
      <c r="J24" s="273" t="s">
        <v>34</v>
      </c>
      <c r="K24" s="274"/>
      <c r="L24" s="274"/>
    </row>
    <row r="25" spans="2:13">
      <c r="J25" s="275"/>
      <c r="K25" s="275"/>
      <c r="L25" s="275"/>
    </row>
    <row r="26" spans="2:13">
      <c r="J26" s="275"/>
      <c r="K26" s="275"/>
      <c r="L26" s="275"/>
    </row>
    <row r="27" spans="2:13">
      <c r="J27" s="275"/>
      <c r="K27" s="275"/>
      <c r="L27" s="275"/>
    </row>
  </sheetData>
  <mergeCells count="14">
    <mergeCell ref="B18:L18"/>
    <mergeCell ref="J24:L27"/>
    <mergeCell ref="B7:C7"/>
    <mergeCell ref="D7:M7"/>
    <mergeCell ref="B9:L9"/>
    <mergeCell ref="I15:J15"/>
    <mergeCell ref="M15:N15"/>
    <mergeCell ref="I16:K16"/>
    <mergeCell ref="B1:L1"/>
    <mergeCell ref="B2:L2"/>
    <mergeCell ref="B3:L3"/>
    <mergeCell ref="B4:L4"/>
    <mergeCell ref="B6:C6"/>
    <mergeCell ref="D6:M6"/>
  </mergeCells>
  <pageMargins left="0.74803149606299213" right="0.74803149606299213" top="0.98425196850393704" bottom="0.98425196850393704" header="0.51181102362204722" footer="0.51181102362204722"/>
  <pageSetup scale="3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7"/>
  <sheetViews>
    <sheetView showGridLines="0" topLeftCell="D6" zoomScale="80" zoomScaleNormal="80" zoomScalePageLayoutView="40" workbookViewId="0">
      <selection activeCell="K11" sqref="K11"/>
    </sheetView>
  </sheetViews>
  <sheetFormatPr baseColWidth="10" defaultColWidth="11.42578125" defaultRowHeight="12.75"/>
  <cols>
    <col min="1" max="1" width="6.5703125" customWidth="1"/>
    <col min="2" max="2" width="6" customWidth="1"/>
    <col min="3" max="3" width="37.28515625" customWidth="1"/>
    <col min="4" max="4" width="24.7109375" customWidth="1"/>
    <col min="5" max="5" width="15.7109375" customWidth="1"/>
    <col min="6" max="6" width="28.7109375" customWidth="1"/>
    <col min="7" max="7" width="24.7109375" customWidth="1"/>
    <col min="8" max="8" width="21.42578125" customWidth="1"/>
    <col min="9" max="9" width="23" customWidth="1"/>
    <col min="10" max="10" width="23.5703125" customWidth="1"/>
    <col min="11" max="11" width="29.85546875" customWidth="1"/>
    <col min="12" max="12" width="20.85546875" customWidth="1"/>
    <col min="13" max="14" width="21.5703125" customWidth="1"/>
    <col min="15" max="15" width="21.85546875" customWidth="1"/>
  </cols>
  <sheetData>
    <row r="1" spans="2:14" ht="18.75">
      <c r="B1" s="277" t="s">
        <v>21</v>
      </c>
      <c r="C1" s="278"/>
      <c r="D1" s="278"/>
      <c r="E1" s="278"/>
      <c r="F1" s="278"/>
      <c r="G1" s="278"/>
      <c r="H1" s="278"/>
      <c r="I1" s="278"/>
      <c r="J1" s="278"/>
      <c r="K1" s="278"/>
      <c r="L1" s="278"/>
    </row>
    <row r="2" spans="2:14" ht="59.25" customHeight="1">
      <c r="B2" s="277" t="s">
        <v>22</v>
      </c>
      <c r="C2" s="278"/>
      <c r="D2" s="278"/>
      <c r="E2" s="278"/>
      <c r="F2" s="278"/>
      <c r="G2" s="278"/>
      <c r="H2" s="278"/>
      <c r="I2" s="278"/>
      <c r="J2" s="278"/>
      <c r="K2" s="278"/>
      <c r="L2" s="278"/>
    </row>
    <row r="3" spans="2:14" ht="18.75">
      <c r="B3" s="281" t="s">
        <v>33</v>
      </c>
      <c r="C3" s="281"/>
      <c r="D3" s="281"/>
      <c r="E3" s="281"/>
      <c r="F3" s="281"/>
      <c r="G3" s="281"/>
      <c r="H3" s="281"/>
      <c r="I3" s="281"/>
      <c r="J3" s="281"/>
      <c r="K3" s="281"/>
      <c r="L3" s="281"/>
    </row>
    <row r="4" spans="2:14" ht="18.75">
      <c r="B4" s="281" t="s">
        <v>0</v>
      </c>
      <c r="C4" s="281"/>
      <c r="D4" s="281"/>
      <c r="E4" s="281"/>
      <c r="F4" s="281"/>
      <c r="G4" s="281"/>
      <c r="H4" s="281"/>
      <c r="I4" s="281"/>
      <c r="J4" s="281"/>
      <c r="K4" s="281"/>
      <c r="L4" s="281"/>
    </row>
    <row r="5" spans="2:14" ht="15.75">
      <c r="B5" s="1"/>
      <c r="C5" s="1"/>
      <c r="D5" s="1"/>
      <c r="E5" s="1"/>
      <c r="F5" s="1"/>
      <c r="G5" s="1"/>
      <c r="H5" s="1"/>
      <c r="I5" s="1"/>
      <c r="J5" s="1"/>
      <c r="K5" s="1"/>
      <c r="L5" s="1"/>
    </row>
    <row r="6" spans="2:14" ht="18.75">
      <c r="B6" s="279" t="s">
        <v>23</v>
      </c>
      <c r="C6" s="279"/>
      <c r="D6" s="280" t="s">
        <v>47</v>
      </c>
      <c r="E6" s="280"/>
      <c r="F6" s="280"/>
      <c r="G6" s="280"/>
      <c r="H6" s="280"/>
      <c r="I6" s="280"/>
      <c r="J6" s="280"/>
      <c r="K6" s="280"/>
      <c r="L6" s="280"/>
      <c r="M6" s="280"/>
    </row>
    <row r="7" spans="2:14" ht="18.75">
      <c r="B7" s="279" t="s">
        <v>24</v>
      </c>
      <c r="C7" s="279"/>
      <c r="D7" s="280" t="s">
        <v>47</v>
      </c>
      <c r="E7" s="280"/>
      <c r="F7" s="280"/>
      <c r="G7" s="280"/>
      <c r="H7" s="280"/>
      <c r="I7" s="280"/>
      <c r="J7" s="280"/>
      <c r="K7" s="280"/>
      <c r="L7" s="280"/>
      <c r="M7" s="280"/>
    </row>
    <row r="8" spans="2:14" ht="15.75">
      <c r="B8" s="2"/>
      <c r="C8" s="2"/>
      <c r="D8" s="2"/>
      <c r="E8" s="2"/>
      <c r="F8" s="2"/>
      <c r="G8" s="2"/>
      <c r="H8" s="2"/>
      <c r="I8" s="2"/>
      <c r="J8" s="2"/>
      <c r="K8" s="2"/>
      <c r="L8" s="2"/>
    </row>
    <row r="9" spans="2:14" ht="26.25" customHeight="1" thickBot="1">
      <c r="B9" s="267" t="s">
        <v>1</v>
      </c>
      <c r="C9" s="267"/>
      <c r="D9" s="267"/>
      <c r="E9" s="267"/>
      <c r="F9" s="267"/>
      <c r="G9" s="267"/>
      <c r="H9" s="267"/>
      <c r="I9" s="267"/>
      <c r="J9" s="267"/>
      <c r="K9" s="267"/>
      <c r="L9" s="267"/>
    </row>
    <row r="10" spans="2:14" ht="81" customHeight="1" thickBot="1">
      <c r="B10" s="3"/>
      <c r="C10" s="4" t="s">
        <v>2</v>
      </c>
      <c r="D10" s="4" t="s">
        <v>3</v>
      </c>
      <c r="E10" s="4" t="s">
        <v>4</v>
      </c>
      <c r="F10" s="4" t="s">
        <v>5</v>
      </c>
      <c r="G10" s="4" t="s">
        <v>6</v>
      </c>
      <c r="H10" s="4" t="s">
        <v>7</v>
      </c>
      <c r="I10" s="4" t="s">
        <v>8</v>
      </c>
      <c r="J10" s="4" t="s">
        <v>9</v>
      </c>
      <c r="K10" s="4" t="s">
        <v>10</v>
      </c>
      <c r="L10" s="4" t="s">
        <v>11</v>
      </c>
      <c r="M10" s="5" t="s">
        <v>12</v>
      </c>
    </row>
    <row r="11" spans="2:14" ht="154.5" customHeight="1">
      <c r="B11" s="6">
        <v>1</v>
      </c>
      <c r="C11" s="91" t="s">
        <v>48</v>
      </c>
      <c r="D11" s="50">
        <v>37793</v>
      </c>
      <c r="E11" s="50">
        <v>38174</v>
      </c>
      <c r="F11" s="48">
        <v>0.5</v>
      </c>
      <c r="G11" s="103" t="s">
        <v>29</v>
      </c>
      <c r="H11" s="104" t="s">
        <v>49</v>
      </c>
      <c r="I11" s="52" t="s">
        <v>32</v>
      </c>
      <c r="J11" s="52" t="s">
        <v>32</v>
      </c>
      <c r="K11" s="55">
        <v>196727439</v>
      </c>
      <c r="L11" s="68">
        <f>K11/332000</f>
        <v>592.55252710843376</v>
      </c>
      <c r="M11" s="59" t="s">
        <v>15</v>
      </c>
    </row>
    <row r="12" spans="2:14" ht="67.5" customHeight="1">
      <c r="B12" s="8">
        <v>2</v>
      </c>
      <c r="C12" s="91" t="s">
        <v>50</v>
      </c>
      <c r="D12" s="50">
        <v>38722</v>
      </c>
      <c r="E12" s="50">
        <v>38862</v>
      </c>
      <c r="F12" s="48">
        <v>1</v>
      </c>
      <c r="G12" s="103" t="s">
        <v>29</v>
      </c>
      <c r="H12" s="104" t="s">
        <v>51</v>
      </c>
      <c r="I12" s="51" t="s">
        <v>32</v>
      </c>
      <c r="J12" s="51" t="s">
        <v>32</v>
      </c>
      <c r="K12" s="53">
        <v>296881120</v>
      </c>
      <c r="L12" s="63">
        <f>K12/408000</f>
        <v>727.6498039215686</v>
      </c>
      <c r="M12" s="58" t="s">
        <v>15</v>
      </c>
    </row>
    <row r="13" spans="2:14" ht="48.75" customHeight="1" thickBot="1">
      <c r="B13" s="8">
        <v>3</v>
      </c>
      <c r="C13" s="91" t="s">
        <v>52</v>
      </c>
      <c r="D13" s="50">
        <v>36294</v>
      </c>
      <c r="E13" s="50">
        <v>36539</v>
      </c>
      <c r="F13" s="48">
        <v>0.5</v>
      </c>
      <c r="G13" s="103" t="s">
        <v>29</v>
      </c>
      <c r="H13" s="49" t="s">
        <v>53</v>
      </c>
      <c r="I13" s="51" t="s">
        <v>32</v>
      </c>
      <c r="J13" s="51" t="s">
        <v>32</v>
      </c>
      <c r="K13" s="53">
        <v>286485718</v>
      </c>
      <c r="L13" s="63">
        <f>K13/236460</f>
        <v>1211.5610166624376</v>
      </c>
      <c r="M13" s="58" t="s">
        <v>15</v>
      </c>
    </row>
    <row r="14" spans="2:14" ht="182.25" customHeight="1" thickBot="1">
      <c r="B14" s="18">
        <v>4</v>
      </c>
      <c r="C14" s="100" t="s">
        <v>54</v>
      </c>
      <c r="D14" s="101">
        <v>37793</v>
      </c>
      <c r="E14" s="101">
        <v>38867</v>
      </c>
      <c r="F14" s="102">
        <v>0.5</v>
      </c>
      <c r="G14" s="103" t="s">
        <v>29</v>
      </c>
      <c r="H14" s="103" t="s">
        <v>49</v>
      </c>
      <c r="I14" s="51" t="s">
        <v>32</v>
      </c>
      <c r="J14" s="51" t="s">
        <v>32</v>
      </c>
      <c r="K14" s="55">
        <v>189691366.5</v>
      </c>
      <c r="L14" s="68">
        <f>K14/332000</f>
        <v>571.35953765060242</v>
      </c>
      <c r="M14" s="58" t="s">
        <v>15</v>
      </c>
    </row>
    <row r="15" spans="2:14" s="31" customFormat="1" ht="59.25" customHeight="1">
      <c r="B15" s="29"/>
      <c r="C15" s="30"/>
      <c r="D15" s="30"/>
      <c r="E15" s="30"/>
      <c r="F15" s="30"/>
      <c r="I15" s="268" t="s">
        <v>16</v>
      </c>
      <c r="J15" s="269"/>
      <c r="K15" s="60">
        <f>SUM(K11:K14)</f>
        <v>969785643.5</v>
      </c>
      <c r="M15" s="276"/>
      <c r="N15" s="276"/>
    </row>
    <row r="16" spans="2:14" ht="68.25" customHeight="1" thickBot="1">
      <c r="B16" s="29"/>
      <c r="C16" s="30"/>
      <c r="D16" s="30"/>
      <c r="E16" s="30"/>
      <c r="F16" s="30"/>
      <c r="G16" s="32"/>
      <c r="H16" s="32"/>
      <c r="I16" s="270" t="s">
        <v>35</v>
      </c>
      <c r="J16" s="271"/>
      <c r="K16" s="272"/>
    </row>
    <row r="17" spans="2:13" ht="16.5" customHeight="1"/>
    <row r="18" spans="2:13" ht="16.5" thickBot="1">
      <c r="B18" s="267" t="s">
        <v>36</v>
      </c>
      <c r="C18" s="267"/>
      <c r="D18" s="267"/>
      <c r="E18" s="267"/>
      <c r="F18" s="267"/>
      <c r="G18" s="267"/>
      <c r="H18" s="267"/>
      <c r="I18" s="267"/>
      <c r="J18" s="267"/>
      <c r="K18" s="267"/>
      <c r="L18" s="267"/>
    </row>
    <row r="19" spans="2:13" ht="81.75" customHeight="1" thickBot="1">
      <c r="B19" s="34"/>
      <c r="C19" s="35" t="s">
        <v>2</v>
      </c>
      <c r="D19" s="35" t="s">
        <v>3</v>
      </c>
      <c r="E19" s="35" t="s">
        <v>4</v>
      </c>
      <c r="F19" s="35" t="s">
        <v>17</v>
      </c>
      <c r="G19" s="35" t="s">
        <v>6</v>
      </c>
      <c r="H19" s="35" t="s">
        <v>7</v>
      </c>
      <c r="I19" s="35" t="s">
        <v>8</v>
      </c>
      <c r="J19" s="35" t="s">
        <v>9</v>
      </c>
      <c r="K19" s="35" t="s">
        <v>10</v>
      </c>
      <c r="L19" s="35" t="s">
        <v>11</v>
      </c>
      <c r="M19" s="36" t="s">
        <v>12</v>
      </c>
    </row>
    <row r="20" spans="2:13" s="44" customFormat="1" ht="49.5" customHeight="1" thickBot="1">
      <c r="B20" s="37">
        <v>1</v>
      </c>
      <c r="C20" s="38" t="s">
        <v>32</v>
      </c>
      <c r="D20" s="39" t="s">
        <v>32</v>
      </c>
      <c r="E20" s="39" t="s">
        <v>32</v>
      </c>
      <c r="F20" s="40" t="s">
        <v>32</v>
      </c>
      <c r="G20" s="41" t="s">
        <v>32</v>
      </c>
      <c r="H20" s="38" t="s">
        <v>32</v>
      </c>
      <c r="I20" s="41" t="s">
        <v>32</v>
      </c>
      <c r="J20" s="42" t="s">
        <v>32</v>
      </c>
      <c r="K20" s="61"/>
      <c r="L20" s="27" t="s">
        <v>32</v>
      </c>
      <c r="M20" s="43" t="s">
        <v>32</v>
      </c>
    </row>
    <row r="21" spans="2:13" s="31" customFormat="1" ht="45" customHeight="1" thickBot="1">
      <c r="B21" s="29"/>
      <c r="C21" s="30"/>
      <c r="D21" s="30"/>
      <c r="E21" s="30"/>
      <c r="F21" s="30"/>
      <c r="I21" s="32"/>
      <c r="J21" s="33" t="s">
        <v>20</v>
      </c>
      <c r="K21" s="62">
        <f>SUM(K20)</f>
        <v>0</v>
      </c>
    </row>
    <row r="22" spans="2:13" s="31" customFormat="1" ht="13.5" thickBot="1">
      <c r="B22" s="30"/>
      <c r="C22" s="30"/>
      <c r="D22" s="30"/>
      <c r="E22" s="30"/>
      <c r="F22" s="30"/>
      <c r="G22" s="30"/>
      <c r="H22" s="30"/>
      <c r="I22" s="30"/>
      <c r="J22" s="30"/>
      <c r="K22" s="30"/>
    </row>
    <row r="23" spans="2:13" s="31" customFormat="1" ht="59.25" customHeight="1" thickBot="1">
      <c r="B23" s="30"/>
      <c r="C23" s="30"/>
      <c r="D23" s="30"/>
      <c r="E23" s="30"/>
      <c r="F23" s="30"/>
      <c r="G23" s="30"/>
      <c r="H23" s="30"/>
      <c r="I23" s="30"/>
      <c r="J23" s="45" t="s">
        <v>26</v>
      </c>
      <c r="K23" s="74">
        <f>+K15+K21</f>
        <v>969785643.5</v>
      </c>
      <c r="L23" s="46" t="str">
        <f>IF(K23&gt;1.5*461942280,"CUMPLE","NO CUMPLE")</f>
        <v>CUMPLE</v>
      </c>
    </row>
    <row r="24" spans="2:13">
      <c r="J24" s="273" t="s">
        <v>34</v>
      </c>
      <c r="K24" s="274"/>
      <c r="L24" s="274"/>
    </row>
    <row r="25" spans="2:13">
      <c r="J25" s="275"/>
      <c r="K25" s="275"/>
      <c r="L25" s="275"/>
    </row>
    <row r="26" spans="2:13">
      <c r="J26" s="275"/>
      <c r="K26" s="275"/>
      <c r="L26" s="275"/>
    </row>
    <row r="27" spans="2:13">
      <c r="J27" s="275"/>
      <c r="K27" s="275"/>
      <c r="L27" s="275"/>
    </row>
  </sheetData>
  <mergeCells count="14">
    <mergeCell ref="B18:L18"/>
    <mergeCell ref="J24:L27"/>
    <mergeCell ref="B7:C7"/>
    <mergeCell ref="D7:M7"/>
    <mergeCell ref="B9:L9"/>
    <mergeCell ref="I15:J15"/>
    <mergeCell ref="M15:N15"/>
    <mergeCell ref="I16:K16"/>
    <mergeCell ref="B1:L1"/>
    <mergeCell ref="B2:L2"/>
    <mergeCell ref="B3:L3"/>
    <mergeCell ref="B4:L4"/>
    <mergeCell ref="B6:C6"/>
    <mergeCell ref="D6:M6"/>
  </mergeCells>
  <pageMargins left="0.74803149606299213" right="0.74803149606299213" top="0.98425196850393704" bottom="0.98425196850393704" header="0.51181102362204722" footer="0.51181102362204722"/>
  <pageSetup scale="3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5"/>
  <sheetViews>
    <sheetView showGridLines="0" topLeftCell="F4" zoomScale="85" zoomScaleNormal="85" zoomScalePageLayoutView="40" workbookViewId="0">
      <selection activeCell="N11" sqref="N11"/>
    </sheetView>
  </sheetViews>
  <sheetFormatPr baseColWidth="10" defaultColWidth="11.42578125" defaultRowHeight="12.75"/>
  <cols>
    <col min="1" max="1" width="6.5703125" customWidth="1"/>
    <col min="2" max="2" width="6" customWidth="1"/>
    <col min="3" max="3" width="40.7109375" customWidth="1"/>
    <col min="4" max="4" width="24.7109375" customWidth="1"/>
    <col min="5" max="5" width="15.7109375" customWidth="1"/>
    <col min="6" max="6" width="28.7109375" customWidth="1"/>
    <col min="7" max="7" width="24.7109375" customWidth="1"/>
    <col min="8" max="8" width="21.42578125" customWidth="1"/>
    <col min="9" max="9" width="23" customWidth="1"/>
    <col min="10" max="10" width="23.5703125" customWidth="1"/>
    <col min="11" max="11" width="29.85546875" customWidth="1"/>
    <col min="12" max="12" width="20.85546875" customWidth="1"/>
    <col min="13" max="14" width="21.5703125" customWidth="1"/>
    <col min="15" max="15" width="21.85546875" customWidth="1"/>
  </cols>
  <sheetData>
    <row r="1" spans="2:14" ht="18.75">
      <c r="B1" s="277" t="s">
        <v>21</v>
      </c>
      <c r="C1" s="278"/>
      <c r="D1" s="278"/>
      <c r="E1" s="278"/>
      <c r="F1" s="278"/>
      <c r="G1" s="278"/>
      <c r="H1" s="278"/>
      <c r="I1" s="278"/>
      <c r="J1" s="278"/>
      <c r="K1" s="278"/>
      <c r="L1" s="278"/>
    </row>
    <row r="2" spans="2:14" ht="59.25" customHeight="1">
      <c r="B2" s="277" t="s">
        <v>22</v>
      </c>
      <c r="C2" s="278"/>
      <c r="D2" s="278"/>
      <c r="E2" s="278"/>
      <c r="F2" s="278"/>
      <c r="G2" s="278"/>
      <c r="H2" s="278"/>
      <c r="I2" s="278"/>
      <c r="J2" s="278"/>
      <c r="K2" s="278"/>
      <c r="L2" s="278"/>
    </row>
    <row r="3" spans="2:14" ht="18.75">
      <c r="B3" s="281" t="s">
        <v>33</v>
      </c>
      <c r="C3" s="281"/>
      <c r="D3" s="281"/>
      <c r="E3" s="281"/>
      <c r="F3" s="281"/>
      <c r="G3" s="281"/>
      <c r="H3" s="281"/>
      <c r="I3" s="281"/>
      <c r="J3" s="281"/>
      <c r="K3" s="281"/>
      <c r="L3" s="281"/>
    </row>
    <row r="4" spans="2:14" ht="18.75">
      <c r="B4" s="281" t="s">
        <v>0</v>
      </c>
      <c r="C4" s="281"/>
      <c r="D4" s="281"/>
      <c r="E4" s="281"/>
      <c r="F4" s="281"/>
      <c r="G4" s="281"/>
      <c r="H4" s="281"/>
      <c r="I4" s="281"/>
      <c r="J4" s="281"/>
      <c r="K4" s="281"/>
      <c r="L4" s="281"/>
    </row>
    <row r="5" spans="2:14" ht="15.75">
      <c r="B5" s="1"/>
      <c r="C5" s="1"/>
      <c r="D5" s="1"/>
      <c r="E5" s="1"/>
      <c r="F5" s="1"/>
      <c r="G5" s="1"/>
      <c r="H5" s="1"/>
      <c r="I5" s="1"/>
      <c r="J5" s="1"/>
      <c r="K5" s="1"/>
      <c r="L5" s="1"/>
    </row>
    <row r="6" spans="2:14" ht="18.75">
      <c r="B6" s="279" t="s">
        <v>23</v>
      </c>
      <c r="C6" s="279"/>
      <c r="D6" s="280" t="s">
        <v>55</v>
      </c>
      <c r="E6" s="280"/>
      <c r="F6" s="280"/>
      <c r="G6" s="280"/>
      <c r="H6" s="280"/>
      <c r="I6" s="280"/>
      <c r="J6" s="280"/>
      <c r="K6" s="280"/>
      <c r="L6" s="280"/>
      <c r="M6" s="280"/>
    </row>
    <row r="7" spans="2:14" ht="18.75">
      <c r="B7" s="279" t="s">
        <v>24</v>
      </c>
      <c r="C7" s="279"/>
      <c r="D7" s="280" t="s">
        <v>55</v>
      </c>
      <c r="E7" s="280"/>
      <c r="F7" s="280"/>
      <c r="G7" s="280"/>
      <c r="H7" s="280"/>
      <c r="I7" s="280"/>
      <c r="J7" s="280"/>
      <c r="K7" s="280"/>
      <c r="L7" s="280"/>
      <c r="M7" s="280"/>
    </row>
    <row r="8" spans="2:14" ht="15.75">
      <c r="B8" s="2"/>
      <c r="C8" s="2"/>
      <c r="D8" s="2"/>
      <c r="E8" s="2"/>
      <c r="F8" s="2"/>
      <c r="G8" s="2"/>
      <c r="H8" s="2"/>
      <c r="I8" s="2"/>
      <c r="J8" s="2"/>
      <c r="K8" s="2"/>
      <c r="L8" s="2"/>
    </row>
    <row r="9" spans="2:14" ht="26.25" customHeight="1" thickBot="1">
      <c r="B9" s="267" t="s">
        <v>1</v>
      </c>
      <c r="C9" s="267"/>
      <c r="D9" s="267"/>
      <c r="E9" s="267"/>
      <c r="F9" s="267"/>
      <c r="G9" s="267"/>
      <c r="H9" s="267"/>
      <c r="I9" s="267"/>
      <c r="J9" s="267"/>
      <c r="K9" s="267"/>
      <c r="L9" s="267"/>
    </row>
    <row r="10" spans="2:14" ht="81" customHeight="1">
      <c r="B10" s="77"/>
      <c r="C10" s="78" t="s">
        <v>2</v>
      </c>
      <c r="D10" s="78" t="s">
        <v>3</v>
      </c>
      <c r="E10" s="78" t="s">
        <v>4</v>
      </c>
      <c r="F10" s="78" t="s">
        <v>5</v>
      </c>
      <c r="G10" s="78" t="s">
        <v>6</v>
      </c>
      <c r="H10" s="78" t="s">
        <v>7</v>
      </c>
      <c r="I10" s="78" t="s">
        <v>8</v>
      </c>
      <c r="J10" s="78" t="s">
        <v>9</v>
      </c>
      <c r="K10" s="78" t="s">
        <v>10</v>
      </c>
      <c r="L10" s="78" t="s">
        <v>11</v>
      </c>
      <c r="M10" s="79" t="s">
        <v>12</v>
      </c>
    </row>
    <row r="11" spans="2:14" ht="87.75" customHeight="1">
      <c r="B11" s="8">
        <v>1</v>
      </c>
      <c r="C11" s="100" t="s">
        <v>59</v>
      </c>
      <c r="D11" s="105">
        <v>38534</v>
      </c>
      <c r="E11" s="105">
        <v>38625</v>
      </c>
      <c r="F11" s="106">
        <v>1</v>
      </c>
      <c r="G11" s="107" t="s">
        <v>18</v>
      </c>
      <c r="H11" s="107" t="s">
        <v>56</v>
      </c>
      <c r="I11" s="65" t="s">
        <v>32</v>
      </c>
      <c r="J11" s="65" t="s">
        <v>32</v>
      </c>
      <c r="K11" s="55">
        <v>360690000</v>
      </c>
      <c r="L11" s="63">
        <f>+K11/381500</f>
        <v>945.45216251638271</v>
      </c>
      <c r="M11" s="58" t="s">
        <v>15</v>
      </c>
      <c r="N11" s="148" t="s">
        <v>224</v>
      </c>
    </row>
    <row r="12" spans="2:14" ht="101.25" customHeight="1">
      <c r="B12" s="8">
        <v>2</v>
      </c>
      <c r="C12" s="100" t="s">
        <v>57</v>
      </c>
      <c r="D12" s="168">
        <v>38582</v>
      </c>
      <c r="E12" s="168">
        <v>38681</v>
      </c>
      <c r="F12" s="169">
        <v>0.5</v>
      </c>
      <c r="G12" s="116" t="s">
        <v>18</v>
      </c>
      <c r="H12" s="116" t="s">
        <v>58</v>
      </c>
      <c r="I12" s="65" t="s">
        <v>32</v>
      </c>
      <c r="J12" s="65" t="s">
        <v>32</v>
      </c>
      <c r="K12" s="55">
        <f>168871988*F12</f>
        <v>84435994</v>
      </c>
      <c r="L12" s="63">
        <f>+K12/381500</f>
        <v>221.32632765399737</v>
      </c>
      <c r="M12" s="58" t="s">
        <v>15</v>
      </c>
      <c r="N12" s="148" t="s">
        <v>184</v>
      </c>
    </row>
    <row r="13" spans="2:14" s="31" customFormat="1" ht="59.25" customHeight="1">
      <c r="B13" s="29"/>
      <c r="C13" s="30"/>
      <c r="D13" s="30"/>
      <c r="E13" s="30"/>
      <c r="F13" s="30"/>
      <c r="I13" s="282" t="s">
        <v>16</v>
      </c>
      <c r="J13" s="283"/>
      <c r="K13" s="76">
        <f>SUM(K11:K12)</f>
        <v>445125994</v>
      </c>
      <c r="M13" s="276"/>
      <c r="N13" s="276"/>
    </row>
    <row r="14" spans="2:14" ht="68.25" customHeight="1" thickBot="1">
      <c r="B14" s="29"/>
      <c r="C14" s="30"/>
      <c r="D14" s="30"/>
      <c r="E14" s="30"/>
      <c r="F14" s="30"/>
      <c r="G14" s="32"/>
      <c r="H14" s="32"/>
      <c r="I14" s="270" t="s">
        <v>211</v>
      </c>
      <c r="J14" s="271"/>
      <c r="K14" s="272"/>
    </row>
    <row r="15" spans="2:14" ht="16.5" customHeight="1"/>
    <row r="16" spans="2:14" ht="16.5" thickBot="1">
      <c r="B16" s="267" t="s">
        <v>36</v>
      </c>
      <c r="C16" s="267"/>
      <c r="D16" s="267"/>
      <c r="E16" s="267"/>
      <c r="F16" s="267"/>
      <c r="G16" s="267"/>
      <c r="H16" s="267"/>
      <c r="I16" s="267"/>
      <c r="J16" s="267"/>
      <c r="K16" s="267"/>
      <c r="L16" s="267"/>
    </row>
    <row r="17" spans="2:13" ht="81.75" customHeight="1" thickBot="1">
      <c r="B17" s="34"/>
      <c r="C17" s="35" t="s">
        <v>2</v>
      </c>
      <c r="D17" s="35" t="s">
        <v>3</v>
      </c>
      <c r="E17" s="35" t="s">
        <v>4</v>
      </c>
      <c r="F17" s="35" t="s">
        <v>17</v>
      </c>
      <c r="G17" s="35" t="s">
        <v>6</v>
      </c>
      <c r="H17" s="35" t="s">
        <v>7</v>
      </c>
      <c r="I17" s="35" t="s">
        <v>8</v>
      </c>
      <c r="J17" s="35" t="s">
        <v>9</v>
      </c>
      <c r="K17" s="35" t="s">
        <v>10</v>
      </c>
      <c r="L17" s="35" t="s">
        <v>11</v>
      </c>
      <c r="M17" s="36" t="s">
        <v>12</v>
      </c>
    </row>
    <row r="18" spans="2:13" s="44" customFormat="1" ht="49.5" customHeight="1" thickBot="1">
      <c r="B18" s="37">
        <v>1</v>
      </c>
      <c r="C18" s="38" t="s">
        <v>32</v>
      </c>
      <c r="D18" s="39" t="s">
        <v>32</v>
      </c>
      <c r="E18" s="39" t="s">
        <v>32</v>
      </c>
      <c r="F18" s="40" t="s">
        <v>32</v>
      </c>
      <c r="G18" s="41" t="s">
        <v>32</v>
      </c>
      <c r="H18" s="38" t="s">
        <v>32</v>
      </c>
      <c r="I18" s="41" t="s">
        <v>32</v>
      </c>
      <c r="J18" s="42" t="s">
        <v>32</v>
      </c>
      <c r="K18" s="61"/>
      <c r="L18" s="27" t="s">
        <v>32</v>
      </c>
      <c r="M18" s="43" t="s">
        <v>32</v>
      </c>
    </row>
    <row r="19" spans="2:13" s="31" customFormat="1" ht="45" customHeight="1" thickBot="1">
      <c r="B19" s="29"/>
      <c r="C19" s="30"/>
      <c r="D19" s="30"/>
      <c r="E19" s="30"/>
      <c r="F19" s="30"/>
      <c r="I19" s="32"/>
      <c r="J19" s="33" t="s">
        <v>20</v>
      </c>
      <c r="K19" s="62">
        <f>SUM(K18)</f>
        <v>0</v>
      </c>
    </row>
    <row r="20" spans="2:13" s="31" customFormat="1" ht="13.5" thickBot="1">
      <c r="B20" s="30"/>
      <c r="C20" s="30"/>
      <c r="D20" s="30"/>
      <c r="E20" s="30"/>
      <c r="F20" s="30"/>
      <c r="G20" s="30"/>
      <c r="H20" s="30"/>
      <c r="I20" s="30"/>
      <c r="J20" s="30"/>
      <c r="K20" s="30"/>
    </row>
    <row r="21" spans="2:13" s="31" customFormat="1" ht="59.25" customHeight="1" thickBot="1">
      <c r="B21" s="30"/>
      <c r="C21" s="30"/>
      <c r="D21" s="30"/>
      <c r="E21" s="30"/>
      <c r="F21" s="30"/>
      <c r="G21" s="30"/>
      <c r="H21" s="30"/>
      <c r="I21" s="30"/>
      <c r="J21" s="45" t="s">
        <v>26</v>
      </c>
      <c r="K21" s="74">
        <f>+K13+K19</f>
        <v>445125994</v>
      </c>
      <c r="L21" s="117" t="str">
        <f>IF(K21&gt;1.5*461942280,"CUMPLE","NO CUMPLE")</f>
        <v>NO CUMPLE</v>
      </c>
    </row>
    <row r="22" spans="2:13">
      <c r="J22" s="273" t="s">
        <v>34</v>
      </c>
      <c r="K22" s="274"/>
      <c r="L22" s="274"/>
    </row>
    <row r="23" spans="2:13">
      <c r="J23" s="275"/>
      <c r="K23" s="275"/>
      <c r="L23" s="275"/>
    </row>
    <row r="24" spans="2:13">
      <c r="J24" s="275"/>
      <c r="K24" s="275"/>
      <c r="L24" s="275"/>
    </row>
    <row r="25" spans="2:13">
      <c r="J25" s="275"/>
      <c r="K25" s="275"/>
      <c r="L25" s="275"/>
    </row>
  </sheetData>
  <mergeCells count="14">
    <mergeCell ref="B16:L16"/>
    <mergeCell ref="J22:L25"/>
    <mergeCell ref="B7:C7"/>
    <mergeCell ref="D7:M7"/>
    <mergeCell ref="B9:L9"/>
    <mergeCell ref="I13:J13"/>
    <mergeCell ref="M13:N13"/>
    <mergeCell ref="I14:K14"/>
    <mergeCell ref="B1:L1"/>
    <mergeCell ref="B2:L2"/>
    <mergeCell ref="B3:L3"/>
    <mergeCell ref="B4:L4"/>
    <mergeCell ref="B6:C6"/>
    <mergeCell ref="D6:M6"/>
  </mergeCells>
  <pageMargins left="0.74803149606299213" right="0.74803149606299213" top="0.98425196850393704" bottom="0.98425196850393704" header="0.51181102362204722" footer="0.51181102362204722"/>
  <pageSetup scale="3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8"/>
  <sheetViews>
    <sheetView showGridLines="0" topLeftCell="B9" zoomScale="85" zoomScaleNormal="85" zoomScalePageLayoutView="40" workbookViewId="0">
      <selection activeCell="B9" sqref="B9:L9"/>
    </sheetView>
  </sheetViews>
  <sheetFormatPr baseColWidth="10" defaultRowHeight="12.75"/>
  <cols>
    <col min="1" max="1" width="6.5703125" style="119" customWidth="1"/>
    <col min="2" max="2" width="6" style="119" customWidth="1"/>
    <col min="3" max="3" width="37.28515625" style="119" customWidth="1"/>
    <col min="4" max="4" width="24.7109375" style="119" customWidth="1"/>
    <col min="5" max="5" width="15.7109375" style="119" customWidth="1"/>
    <col min="6" max="6" width="28.7109375" style="119" customWidth="1"/>
    <col min="7" max="7" width="24.7109375" style="119" customWidth="1"/>
    <col min="8" max="8" width="21.42578125" style="119" customWidth="1"/>
    <col min="9" max="9" width="23" style="119" customWidth="1"/>
    <col min="10" max="10" width="23.5703125" style="119" customWidth="1"/>
    <col min="11" max="11" width="29.85546875" style="119" customWidth="1"/>
    <col min="12" max="12" width="20.85546875" style="119" customWidth="1"/>
    <col min="13" max="14" width="21.5703125" style="119" customWidth="1"/>
    <col min="15" max="15" width="21.85546875" style="119" customWidth="1"/>
    <col min="16" max="16384" width="11.42578125" style="119"/>
  </cols>
  <sheetData>
    <row r="1" spans="2:14" ht="18.75">
      <c r="B1" s="277" t="s">
        <v>21</v>
      </c>
      <c r="C1" s="278"/>
      <c r="D1" s="278"/>
      <c r="E1" s="278"/>
      <c r="F1" s="278"/>
      <c r="G1" s="278"/>
      <c r="H1" s="278"/>
      <c r="I1" s="278"/>
      <c r="J1" s="278"/>
      <c r="K1" s="278"/>
      <c r="L1" s="278"/>
    </row>
    <row r="2" spans="2:14" ht="59.25" customHeight="1">
      <c r="B2" s="277" t="s">
        <v>22</v>
      </c>
      <c r="C2" s="278"/>
      <c r="D2" s="278"/>
      <c r="E2" s="278"/>
      <c r="F2" s="278"/>
      <c r="G2" s="278"/>
      <c r="H2" s="278"/>
      <c r="I2" s="278"/>
      <c r="J2" s="278"/>
      <c r="K2" s="278"/>
      <c r="L2" s="278"/>
    </row>
    <row r="3" spans="2:14" ht="18.75">
      <c r="B3" s="288" t="s">
        <v>33</v>
      </c>
      <c r="C3" s="288"/>
      <c r="D3" s="288"/>
      <c r="E3" s="288"/>
      <c r="F3" s="288"/>
      <c r="G3" s="288"/>
      <c r="H3" s="288"/>
      <c r="I3" s="288"/>
      <c r="J3" s="288"/>
      <c r="K3" s="288"/>
      <c r="L3" s="288"/>
    </row>
    <row r="4" spans="2:14" ht="18.75">
      <c r="B4" s="288" t="s">
        <v>0</v>
      </c>
      <c r="C4" s="288"/>
      <c r="D4" s="288"/>
      <c r="E4" s="288"/>
      <c r="F4" s="288"/>
      <c r="G4" s="288"/>
      <c r="H4" s="288"/>
      <c r="I4" s="288"/>
      <c r="J4" s="288"/>
      <c r="K4" s="288"/>
      <c r="L4" s="288"/>
    </row>
    <row r="5" spans="2:14" ht="15.75">
      <c r="B5" s="1"/>
      <c r="C5" s="1"/>
      <c r="D5" s="1"/>
      <c r="E5" s="1"/>
      <c r="F5" s="1"/>
      <c r="G5" s="1"/>
      <c r="H5" s="1"/>
      <c r="I5" s="1"/>
      <c r="J5" s="1"/>
      <c r="K5" s="1"/>
      <c r="L5" s="1"/>
    </row>
    <row r="6" spans="2:14" ht="18.75">
      <c r="B6" s="279" t="s">
        <v>23</v>
      </c>
      <c r="C6" s="279"/>
      <c r="D6" s="280" t="s">
        <v>185</v>
      </c>
      <c r="E6" s="280"/>
      <c r="F6" s="280"/>
      <c r="G6" s="280"/>
      <c r="H6" s="280"/>
      <c r="I6" s="280"/>
      <c r="J6" s="280"/>
      <c r="K6" s="280"/>
      <c r="L6" s="280"/>
      <c r="M6" s="280"/>
    </row>
    <row r="7" spans="2:14" ht="18.75">
      <c r="B7" s="279" t="s">
        <v>24</v>
      </c>
      <c r="C7" s="279"/>
      <c r="D7" s="280" t="s">
        <v>185</v>
      </c>
      <c r="E7" s="280"/>
      <c r="F7" s="280"/>
      <c r="G7" s="280"/>
      <c r="H7" s="280"/>
      <c r="I7" s="280"/>
      <c r="J7" s="280"/>
      <c r="K7" s="280"/>
      <c r="L7" s="280"/>
      <c r="M7" s="280"/>
    </row>
    <row r="8" spans="2:14" ht="15.75">
      <c r="B8" s="2"/>
      <c r="C8" s="2"/>
      <c r="D8" s="2"/>
      <c r="E8" s="2"/>
      <c r="F8" s="2"/>
      <c r="G8" s="2"/>
      <c r="H8" s="2"/>
      <c r="I8" s="2"/>
      <c r="J8" s="2"/>
      <c r="K8" s="2"/>
      <c r="L8" s="2"/>
    </row>
    <row r="9" spans="2:14" ht="26.25" customHeight="1" thickBot="1">
      <c r="B9" s="267" t="s">
        <v>1</v>
      </c>
      <c r="C9" s="267"/>
      <c r="D9" s="267"/>
      <c r="E9" s="267"/>
      <c r="F9" s="267"/>
      <c r="G9" s="267"/>
      <c r="H9" s="267"/>
      <c r="I9" s="267"/>
      <c r="J9" s="267"/>
      <c r="K9" s="267"/>
      <c r="L9" s="267"/>
    </row>
    <row r="10" spans="2:14" ht="81" customHeight="1" thickBot="1">
      <c r="B10" s="121"/>
      <c r="C10" s="122" t="s">
        <v>2</v>
      </c>
      <c r="D10" s="122" t="s">
        <v>3</v>
      </c>
      <c r="E10" s="122" t="s">
        <v>4</v>
      </c>
      <c r="F10" s="122" t="s">
        <v>5</v>
      </c>
      <c r="G10" s="122" t="s">
        <v>6</v>
      </c>
      <c r="H10" s="122" t="s">
        <v>7</v>
      </c>
      <c r="I10" s="122" t="s">
        <v>8</v>
      </c>
      <c r="J10" s="122" t="s">
        <v>9</v>
      </c>
      <c r="K10" s="122" t="s">
        <v>10</v>
      </c>
      <c r="L10" s="122" t="s">
        <v>11</v>
      </c>
      <c r="M10" s="123" t="s">
        <v>12</v>
      </c>
    </row>
    <row r="11" spans="2:14" ht="69" customHeight="1">
      <c r="B11" s="6">
        <v>1</v>
      </c>
      <c r="C11" s="75" t="s">
        <v>186</v>
      </c>
      <c r="D11" s="98">
        <v>40994</v>
      </c>
      <c r="E11" s="98">
        <v>41150</v>
      </c>
      <c r="F11" s="99">
        <v>0.5</v>
      </c>
      <c r="G11" s="12" t="s">
        <v>18</v>
      </c>
      <c r="H11" s="214" t="s">
        <v>187</v>
      </c>
      <c r="I11" s="69" t="s">
        <v>32</v>
      </c>
      <c r="J11" s="69" t="s">
        <v>32</v>
      </c>
      <c r="K11" s="215">
        <f>594170665*F11</f>
        <v>297085332.5</v>
      </c>
      <c r="L11" s="216">
        <f>+K11/566700</f>
        <v>524.2373963296277</v>
      </c>
      <c r="M11" s="217" t="s">
        <v>15</v>
      </c>
    </row>
    <row r="12" spans="2:14" ht="67.5" customHeight="1" thickBot="1">
      <c r="B12" s="8">
        <v>2</v>
      </c>
      <c r="C12" s="75" t="s">
        <v>188</v>
      </c>
      <c r="D12" s="98">
        <v>38664</v>
      </c>
      <c r="E12" s="98">
        <v>38992</v>
      </c>
      <c r="F12" s="99">
        <v>0.5</v>
      </c>
      <c r="G12" s="12" t="s">
        <v>18</v>
      </c>
      <c r="H12" s="75" t="s">
        <v>189</v>
      </c>
      <c r="I12" s="65" t="s">
        <v>32</v>
      </c>
      <c r="J12" s="65" t="s">
        <v>32</v>
      </c>
      <c r="K12" s="215">
        <f>367363621*F12</f>
        <v>183681810.5</v>
      </c>
      <c r="L12" s="129">
        <f>+K12/408000</f>
        <v>450.20051593137254</v>
      </c>
      <c r="M12" s="218" t="s">
        <v>15</v>
      </c>
    </row>
    <row r="13" spans="2:14" ht="58.5" customHeight="1">
      <c r="B13" s="8">
        <v>3</v>
      </c>
      <c r="C13" s="219" t="s">
        <v>190</v>
      </c>
      <c r="D13" s="98">
        <v>34934</v>
      </c>
      <c r="E13" s="98">
        <v>35388</v>
      </c>
      <c r="F13" s="99">
        <v>0.5</v>
      </c>
      <c r="G13" s="12" t="s">
        <v>18</v>
      </c>
      <c r="H13" s="75" t="s">
        <v>58</v>
      </c>
      <c r="I13" s="69" t="s">
        <v>32</v>
      </c>
      <c r="J13" s="69" t="s">
        <v>32</v>
      </c>
      <c r="K13" s="215">
        <f>202230531*F13</f>
        <v>101115265.5</v>
      </c>
      <c r="L13" s="129">
        <f>+K13/142125</f>
        <v>711.45305540897095</v>
      </c>
      <c r="M13" s="218" t="s">
        <v>15</v>
      </c>
    </row>
    <row r="14" spans="2:14" ht="78" customHeight="1" thickBot="1">
      <c r="B14" s="18">
        <v>4</v>
      </c>
      <c r="C14" s="75" t="s">
        <v>191</v>
      </c>
      <c r="D14" s="98">
        <v>36081</v>
      </c>
      <c r="E14" s="98">
        <v>36307</v>
      </c>
      <c r="F14" s="99">
        <v>1</v>
      </c>
      <c r="G14" s="12" t="s">
        <v>18</v>
      </c>
      <c r="H14" s="75" t="s">
        <v>189</v>
      </c>
      <c r="I14" s="65" t="s">
        <v>32</v>
      </c>
      <c r="J14" s="65" t="s">
        <v>32</v>
      </c>
      <c r="K14" s="215">
        <f>150579600</f>
        <v>150579600</v>
      </c>
      <c r="L14" s="129">
        <f>+K14/236460</f>
        <v>636.80791677239279</v>
      </c>
      <c r="M14" s="218" t="s">
        <v>15</v>
      </c>
    </row>
    <row r="15" spans="2:14" s="220" customFormat="1" ht="59.25" customHeight="1">
      <c r="B15" s="29"/>
      <c r="C15" s="30"/>
      <c r="D15" s="30"/>
      <c r="E15" s="30"/>
      <c r="F15" s="30"/>
      <c r="I15" s="268" t="s">
        <v>16</v>
      </c>
      <c r="J15" s="269"/>
      <c r="K15" s="60">
        <f>SUM(K11:K14)</f>
        <v>732462008.5</v>
      </c>
      <c r="M15" s="287"/>
      <c r="N15" s="287"/>
    </row>
    <row r="16" spans="2:14" ht="68.25" customHeight="1" thickBot="1">
      <c r="B16" s="29"/>
      <c r="C16" s="30"/>
      <c r="D16" s="30"/>
      <c r="E16" s="30"/>
      <c r="F16" s="30"/>
      <c r="G16" s="32"/>
      <c r="H16" s="32"/>
      <c r="I16" s="270" t="s">
        <v>35</v>
      </c>
      <c r="J16" s="271"/>
      <c r="K16" s="272"/>
    </row>
    <row r="17" spans="2:13" ht="16.5" customHeight="1"/>
    <row r="18" spans="2:13" ht="16.5" thickBot="1">
      <c r="B18" s="267" t="s">
        <v>212</v>
      </c>
      <c r="C18" s="267"/>
      <c r="D18" s="267"/>
      <c r="E18" s="267"/>
      <c r="F18" s="267"/>
      <c r="G18" s="267"/>
      <c r="H18" s="267"/>
      <c r="I18" s="267"/>
      <c r="J18" s="267"/>
      <c r="K18" s="267"/>
      <c r="L18" s="267"/>
    </row>
    <row r="19" spans="2:13" ht="81.75" customHeight="1" thickBot="1">
      <c r="B19" s="34"/>
      <c r="C19" s="35" t="s">
        <v>2</v>
      </c>
      <c r="D19" s="35" t="s">
        <v>3</v>
      </c>
      <c r="E19" s="35" t="s">
        <v>4</v>
      </c>
      <c r="F19" s="35" t="s">
        <v>17</v>
      </c>
      <c r="G19" s="35" t="s">
        <v>6</v>
      </c>
      <c r="H19" s="35" t="s">
        <v>7</v>
      </c>
      <c r="I19" s="35" t="s">
        <v>8</v>
      </c>
      <c r="J19" s="35" t="s">
        <v>9</v>
      </c>
      <c r="K19" s="35" t="s">
        <v>10</v>
      </c>
      <c r="L19" s="35" t="s">
        <v>11</v>
      </c>
      <c r="M19" s="36" t="s">
        <v>12</v>
      </c>
    </row>
    <row r="20" spans="2:13" s="225" customFormat="1" ht="37.5" customHeight="1" thickBot="1">
      <c r="B20" s="221"/>
      <c r="C20" s="128"/>
      <c r="D20" s="222"/>
      <c r="E20" s="222"/>
      <c r="F20" s="169"/>
      <c r="G20" s="116"/>
      <c r="H20" s="116"/>
      <c r="I20" s="41"/>
      <c r="J20" s="41"/>
      <c r="K20" s="116"/>
      <c r="L20" s="223"/>
      <c r="M20" s="224"/>
    </row>
    <row r="21" spans="2:13" s="228" customFormat="1" ht="40.5" customHeight="1" thickBot="1">
      <c r="B21" s="37"/>
      <c r="C21" s="128"/>
      <c r="D21" s="222"/>
      <c r="E21" s="222"/>
      <c r="F21" s="169"/>
      <c r="G21" s="116"/>
      <c r="H21" s="116"/>
      <c r="I21" s="41"/>
      <c r="J21" s="226"/>
      <c r="K21" s="116"/>
      <c r="L21" s="227"/>
      <c r="M21" s="43"/>
    </row>
    <row r="22" spans="2:13" s="220" customFormat="1" ht="45" customHeight="1" thickBot="1">
      <c r="B22" s="29"/>
      <c r="C22" s="30"/>
      <c r="D22" s="30"/>
      <c r="E22" s="30"/>
      <c r="F22" s="30"/>
      <c r="I22" s="32"/>
      <c r="J22" s="33" t="s">
        <v>20</v>
      </c>
      <c r="K22" s="62">
        <f>SUM(K21)</f>
        <v>0</v>
      </c>
    </row>
    <row r="23" spans="2:13" s="220" customFormat="1" ht="13.5" thickBot="1">
      <c r="B23" s="30"/>
      <c r="C23" s="30"/>
      <c r="D23" s="30"/>
      <c r="E23" s="30"/>
      <c r="F23" s="30"/>
      <c r="G23" s="30"/>
      <c r="H23" s="30"/>
      <c r="I23" s="30"/>
      <c r="J23" s="30"/>
      <c r="K23" s="30"/>
    </row>
    <row r="24" spans="2:13" s="220" customFormat="1" ht="59.25" customHeight="1" thickBot="1">
      <c r="B24" s="30"/>
      <c r="C24" s="30"/>
      <c r="D24" s="30"/>
      <c r="E24" s="30"/>
      <c r="F24" s="30"/>
      <c r="G24" s="30"/>
      <c r="H24" s="30"/>
      <c r="I24" s="30"/>
      <c r="J24" s="45" t="s">
        <v>26</v>
      </c>
      <c r="K24" s="74">
        <f>+K15+K22</f>
        <v>732462008.5</v>
      </c>
      <c r="L24" s="229" t="str">
        <f>IF(K24&gt;1.5*461942280,"CUMPLE","NO CUMPLE")</f>
        <v>CUMPLE</v>
      </c>
    </row>
    <row r="25" spans="2:13">
      <c r="J25" s="284" t="s">
        <v>34</v>
      </c>
      <c r="K25" s="285"/>
      <c r="L25" s="285"/>
    </row>
    <row r="26" spans="2:13">
      <c r="J26" s="286"/>
      <c r="K26" s="286"/>
      <c r="L26" s="286"/>
    </row>
    <row r="27" spans="2:13">
      <c r="J27" s="286"/>
      <c r="K27" s="286"/>
      <c r="L27" s="286"/>
    </row>
    <row r="28" spans="2:13">
      <c r="J28" s="286"/>
      <c r="K28" s="286"/>
      <c r="L28" s="286"/>
    </row>
  </sheetData>
  <mergeCells count="14">
    <mergeCell ref="B1:L1"/>
    <mergeCell ref="B2:L2"/>
    <mergeCell ref="B3:L3"/>
    <mergeCell ref="B4:L4"/>
    <mergeCell ref="B6:C6"/>
    <mergeCell ref="D6:M6"/>
    <mergeCell ref="B18:L18"/>
    <mergeCell ref="J25:L28"/>
    <mergeCell ref="B7:C7"/>
    <mergeCell ref="D7:M7"/>
    <mergeCell ref="B9:L9"/>
    <mergeCell ref="I15:J15"/>
    <mergeCell ref="M15:N15"/>
    <mergeCell ref="I16:K16"/>
  </mergeCells>
  <pageMargins left="0.74803149606299213" right="0.74803149606299213" top="0.98425196850393704" bottom="0.98425196850393704" header="0.51181102362204722" footer="0.51181102362204722"/>
  <pageSetup scale="3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7"/>
  <sheetViews>
    <sheetView showGridLines="0" topLeftCell="G10" zoomScale="85" zoomScaleNormal="85" zoomScalePageLayoutView="40" workbookViewId="0">
      <selection activeCell="N13" sqref="N13:O13"/>
    </sheetView>
  </sheetViews>
  <sheetFormatPr baseColWidth="10" defaultRowHeight="12.75"/>
  <cols>
    <col min="1" max="1" width="6.5703125" style="119" customWidth="1"/>
    <col min="2" max="2" width="6" style="119" customWidth="1"/>
    <col min="3" max="3" width="37.28515625" style="119" customWidth="1"/>
    <col min="4" max="4" width="24.7109375" style="119" customWidth="1"/>
    <col min="5" max="5" width="15.7109375" style="119" customWidth="1"/>
    <col min="6" max="6" width="28.7109375" style="119" customWidth="1"/>
    <col min="7" max="7" width="24.7109375" style="119" customWidth="1"/>
    <col min="8" max="8" width="21.42578125" style="119" customWidth="1"/>
    <col min="9" max="9" width="23" style="119" customWidth="1"/>
    <col min="10" max="10" width="23.5703125" style="119" customWidth="1"/>
    <col min="11" max="11" width="29.85546875" style="119" customWidth="1"/>
    <col min="12" max="12" width="27.42578125" style="119" customWidth="1"/>
    <col min="13" max="13" width="25.42578125" style="119" customWidth="1"/>
    <col min="14" max="14" width="21.5703125" style="119" customWidth="1"/>
    <col min="15" max="15" width="21.85546875" style="119" customWidth="1"/>
    <col min="16" max="16384" width="11.42578125" style="119"/>
  </cols>
  <sheetData>
    <row r="1" spans="2:15" ht="18.75">
      <c r="B1" s="277" t="s">
        <v>21</v>
      </c>
      <c r="C1" s="278"/>
      <c r="D1" s="278"/>
      <c r="E1" s="278"/>
      <c r="F1" s="278"/>
      <c r="G1" s="278"/>
      <c r="H1" s="278"/>
      <c r="I1" s="278"/>
      <c r="J1" s="278"/>
      <c r="K1" s="278"/>
      <c r="L1" s="278"/>
    </row>
    <row r="2" spans="2:15" ht="59.25" customHeight="1">
      <c r="B2" s="277" t="s">
        <v>22</v>
      </c>
      <c r="C2" s="278"/>
      <c r="D2" s="278"/>
      <c r="E2" s="278"/>
      <c r="F2" s="278"/>
      <c r="G2" s="278"/>
      <c r="H2" s="278"/>
      <c r="I2" s="278"/>
      <c r="J2" s="278"/>
      <c r="K2" s="278"/>
      <c r="L2" s="278"/>
    </row>
    <row r="3" spans="2:15" ht="18.75">
      <c r="B3" s="288" t="s">
        <v>33</v>
      </c>
      <c r="C3" s="288"/>
      <c r="D3" s="288"/>
      <c r="E3" s="288"/>
      <c r="F3" s="288"/>
      <c r="G3" s="288"/>
      <c r="H3" s="288"/>
      <c r="I3" s="288"/>
      <c r="J3" s="288"/>
      <c r="K3" s="288"/>
      <c r="L3" s="288"/>
    </row>
    <row r="4" spans="2:15" ht="18.75">
      <c r="B4" s="288" t="s">
        <v>0</v>
      </c>
      <c r="C4" s="288"/>
      <c r="D4" s="288"/>
      <c r="E4" s="288"/>
      <c r="F4" s="288"/>
      <c r="G4" s="288"/>
      <c r="H4" s="288"/>
      <c r="I4" s="288"/>
      <c r="J4" s="288"/>
      <c r="K4" s="288"/>
      <c r="L4" s="288"/>
    </row>
    <row r="5" spans="2:15" ht="15.75">
      <c r="B5" s="1"/>
      <c r="C5" s="1"/>
      <c r="D5" s="1"/>
      <c r="E5" s="1"/>
      <c r="F5" s="1"/>
      <c r="G5" s="1"/>
      <c r="H5" s="1"/>
      <c r="I5" s="1"/>
      <c r="J5" s="1"/>
      <c r="K5" s="1"/>
      <c r="L5" s="1"/>
    </row>
    <row r="6" spans="2:15" ht="18.75">
      <c r="B6" s="279" t="s">
        <v>23</v>
      </c>
      <c r="C6" s="279"/>
      <c r="D6" s="280" t="s">
        <v>90</v>
      </c>
      <c r="E6" s="280"/>
      <c r="F6" s="280"/>
      <c r="G6" s="280"/>
      <c r="H6" s="280"/>
      <c r="I6" s="280"/>
      <c r="J6" s="280"/>
      <c r="K6" s="280"/>
      <c r="L6" s="280"/>
      <c r="M6" s="280"/>
    </row>
    <row r="7" spans="2:15" ht="18.75">
      <c r="B7" s="279" t="s">
        <v>24</v>
      </c>
      <c r="C7" s="279"/>
      <c r="D7" s="280" t="s">
        <v>192</v>
      </c>
      <c r="E7" s="280"/>
      <c r="F7" s="280"/>
      <c r="G7" s="280"/>
      <c r="H7" s="280"/>
      <c r="I7" s="280"/>
      <c r="J7" s="280"/>
      <c r="K7" s="280"/>
      <c r="L7" s="280"/>
      <c r="M7" s="280"/>
    </row>
    <row r="8" spans="2:15" ht="15.75">
      <c r="B8" s="2"/>
      <c r="C8" s="2"/>
      <c r="D8" s="2"/>
      <c r="E8" s="2"/>
      <c r="F8" s="2"/>
      <c r="G8" s="2"/>
      <c r="H8" s="2"/>
      <c r="I8" s="2"/>
      <c r="J8" s="2"/>
      <c r="K8" s="2"/>
      <c r="L8" s="2"/>
    </row>
    <row r="9" spans="2:15" ht="26.25" customHeight="1" thickBot="1">
      <c r="B9" s="267" t="s">
        <v>1</v>
      </c>
      <c r="C9" s="267"/>
      <c r="D9" s="267"/>
      <c r="E9" s="267"/>
      <c r="F9" s="267"/>
      <c r="G9" s="267"/>
      <c r="H9" s="267"/>
      <c r="I9" s="267"/>
      <c r="J9" s="267"/>
      <c r="K9" s="267"/>
      <c r="L9" s="267"/>
    </row>
    <row r="10" spans="2:15" ht="81" customHeight="1" thickBot="1">
      <c r="B10" s="121"/>
      <c r="C10" s="122" t="s">
        <v>2</v>
      </c>
      <c r="D10" s="122" t="s">
        <v>3</v>
      </c>
      <c r="E10" s="122" t="s">
        <v>4</v>
      </c>
      <c r="F10" s="122" t="s">
        <v>5</v>
      </c>
      <c r="G10" s="122" t="s">
        <v>6</v>
      </c>
      <c r="H10" s="122" t="s">
        <v>7</v>
      </c>
      <c r="I10" s="122" t="s">
        <v>8</v>
      </c>
      <c r="J10" s="122" t="s">
        <v>9</v>
      </c>
      <c r="K10" s="122" t="s">
        <v>10</v>
      </c>
      <c r="L10" s="122" t="s">
        <v>11</v>
      </c>
      <c r="M10" s="123" t="s">
        <v>12</v>
      </c>
    </row>
    <row r="11" spans="2:15" ht="69" customHeight="1" thickBot="1">
      <c r="B11" s="6">
        <v>1</v>
      </c>
      <c r="C11" s="128" t="s">
        <v>193</v>
      </c>
      <c r="D11" s="222">
        <v>34568</v>
      </c>
      <c r="E11" s="222">
        <v>34752</v>
      </c>
      <c r="F11" s="169">
        <v>1</v>
      </c>
      <c r="G11" s="128" t="s">
        <v>18</v>
      </c>
      <c r="H11" s="128" t="s">
        <v>194</v>
      </c>
      <c r="I11" s="69" t="s">
        <v>32</v>
      </c>
      <c r="J11" s="69" t="s">
        <v>32</v>
      </c>
      <c r="K11" s="116">
        <v>176571524</v>
      </c>
      <c r="L11" s="216">
        <f>+K11/118933.5</f>
        <v>1484.6239621300979</v>
      </c>
      <c r="M11" s="217" t="s">
        <v>15</v>
      </c>
    </row>
    <row r="12" spans="2:15" ht="76.5" customHeight="1" thickBot="1">
      <c r="B12" s="8">
        <v>2</v>
      </c>
      <c r="C12" s="128" t="s">
        <v>195</v>
      </c>
      <c r="D12" s="222">
        <v>34987</v>
      </c>
      <c r="E12" s="222">
        <v>35110</v>
      </c>
      <c r="F12" s="169">
        <v>0.33</v>
      </c>
      <c r="G12" s="128" t="s">
        <v>18</v>
      </c>
      <c r="H12" s="128" t="s">
        <v>194</v>
      </c>
      <c r="I12" s="69" t="s">
        <v>32</v>
      </c>
      <c r="J12" s="69" t="s">
        <v>32</v>
      </c>
      <c r="K12" s="116">
        <f>117623949*0.33</f>
        <v>38815903.170000002</v>
      </c>
      <c r="L12" s="216">
        <f>+K12/142125</f>
        <v>273.11101614775725</v>
      </c>
      <c r="M12" s="218" t="s">
        <v>15</v>
      </c>
    </row>
    <row r="13" spans="2:15" ht="212.25" customHeight="1" thickBot="1">
      <c r="B13" s="8">
        <v>3</v>
      </c>
      <c r="C13" s="128" t="s">
        <v>196</v>
      </c>
      <c r="D13" s="222">
        <v>39157</v>
      </c>
      <c r="E13" s="222">
        <v>39948</v>
      </c>
      <c r="F13" s="169">
        <v>0.03</v>
      </c>
      <c r="G13" s="128" t="s">
        <v>18</v>
      </c>
      <c r="H13" s="128" t="s">
        <v>197</v>
      </c>
      <c r="I13" s="69" t="s">
        <v>32</v>
      </c>
      <c r="J13" s="69" t="s">
        <v>32</v>
      </c>
      <c r="K13" s="116">
        <f>(14504912264+3769891230+34999444)*0.03</f>
        <v>549294088.13999999</v>
      </c>
      <c r="L13" s="216">
        <f>+K13/496900</f>
        <v>1105.4419161601932</v>
      </c>
      <c r="M13" s="230" t="s">
        <v>101</v>
      </c>
      <c r="N13" s="289" t="s">
        <v>226</v>
      </c>
      <c r="O13" s="290"/>
    </row>
    <row r="14" spans="2:15" s="220" customFormat="1" ht="127.5" customHeight="1">
      <c r="B14" s="29"/>
      <c r="C14" s="30"/>
      <c r="D14" s="30"/>
      <c r="E14" s="30"/>
      <c r="F14" s="30"/>
      <c r="I14" s="268" t="s">
        <v>16</v>
      </c>
      <c r="J14" s="269"/>
      <c r="K14" s="60">
        <f>SUM(K11:K12)</f>
        <v>215387427.17000002</v>
      </c>
      <c r="L14" s="231" t="s">
        <v>198</v>
      </c>
      <c r="M14" s="287"/>
      <c r="N14" s="287"/>
    </row>
    <row r="15" spans="2:15" ht="68.25" customHeight="1" thickBot="1">
      <c r="B15" s="29"/>
      <c r="C15" s="30"/>
      <c r="D15" s="30"/>
      <c r="E15" s="30"/>
      <c r="F15" s="30"/>
      <c r="G15" s="32"/>
      <c r="H15" s="32"/>
      <c r="I15" s="270" t="s">
        <v>199</v>
      </c>
      <c r="J15" s="271"/>
      <c r="K15" s="272"/>
      <c r="L15" s="232"/>
      <c r="M15" s="233"/>
    </row>
    <row r="16" spans="2:15" ht="16.5" customHeight="1"/>
    <row r="17" spans="2:14" ht="16.5" thickBot="1">
      <c r="B17" s="267" t="s">
        <v>36</v>
      </c>
      <c r="C17" s="267"/>
      <c r="D17" s="267"/>
      <c r="E17" s="267"/>
      <c r="F17" s="267"/>
      <c r="G17" s="267"/>
      <c r="H17" s="267"/>
      <c r="I17" s="267"/>
      <c r="J17" s="267"/>
      <c r="K17" s="267"/>
      <c r="L17" s="267"/>
    </row>
    <row r="18" spans="2:14" ht="81.75" customHeight="1" thickBot="1">
      <c r="B18" s="34"/>
      <c r="C18" s="35" t="s">
        <v>2</v>
      </c>
      <c r="D18" s="35" t="s">
        <v>3</v>
      </c>
      <c r="E18" s="35" t="s">
        <v>4</v>
      </c>
      <c r="F18" s="35" t="s">
        <v>17</v>
      </c>
      <c r="G18" s="35" t="s">
        <v>6</v>
      </c>
      <c r="H18" s="35" t="s">
        <v>7</v>
      </c>
      <c r="I18" s="35" t="s">
        <v>8</v>
      </c>
      <c r="J18" s="35" t="s">
        <v>9</v>
      </c>
      <c r="K18" s="35" t="s">
        <v>10</v>
      </c>
      <c r="L18" s="35" t="s">
        <v>11</v>
      </c>
      <c r="M18" s="234" t="s">
        <v>12</v>
      </c>
      <c r="N18" s="235" t="s">
        <v>200</v>
      </c>
    </row>
    <row r="19" spans="2:14" s="225" customFormat="1" ht="136.5" customHeight="1" thickBot="1">
      <c r="B19" s="221"/>
      <c r="C19" s="128" t="s">
        <v>201</v>
      </c>
      <c r="D19" s="222">
        <v>37859</v>
      </c>
      <c r="E19" s="222">
        <v>38256</v>
      </c>
      <c r="F19" s="169">
        <v>1</v>
      </c>
      <c r="G19" s="116" t="s">
        <v>18</v>
      </c>
      <c r="H19" s="116" t="s">
        <v>202</v>
      </c>
      <c r="I19" s="41" t="s">
        <v>32</v>
      </c>
      <c r="J19" s="41" t="s">
        <v>32</v>
      </c>
      <c r="K19" s="116">
        <f>850000000*0.8</f>
        <v>680000000</v>
      </c>
      <c r="L19" s="236">
        <f>K19/358000</f>
        <v>1899.441340782123</v>
      </c>
      <c r="M19" s="237" t="s">
        <v>19</v>
      </c>
      <c r="N19" s="238" t="s">
        <v>203</v>
      </c>
    </row>
    <row r="20" spans="2:14" s="228" customFormat="1" ht="94.5" customHeight="1" thickBot="1">
      <c r="B20" s="37">
        <v>1</v>
      </c>
      <c r="C20" s="128" t="s">
        <v>204</v>
      </c>
      <c r="D20" s="222">
        <v>40332</v>
      </c>
      <c r="E20" s="222">
        <v>41063</v>
      </c>
      <c r="F20" s="169">
        <v>1</v>
      </c>
      <c r="G20" s="116" t="s">
        <v>18</v>
      </c>
      <c r="H20" s="116" t="s">
        <v>205</v>
      </c>
      <c r="I20" s="41" t="s">
        <v>32</v>
      </c>
      <c r="J20" s="226" t="s">
        <v>32</v>
      </c>
      <c r="K20" s="116">
        <v>1143504509</v>
      </c>
      <c r="L20" s="236">
        <f>K20/566700</f>
        <v>2017.8304376213164</v>
      </c>
      <c r="M20" s="239" t="s">
        <v>19</v>
      </c>
      <c r="N20" s="240"/>
    </row>
    <row r="21" spans="2:14" s="220" customFormat="1" ht="45" customHeight="1" thickBot="1">
      <c r="B21" s="29"/>
      <c r="C21" s="30"/>
      <c r="D21" s="30"/>
      <c r="E21" s="30"/>
      <c r="F21" s="30"/>
      <c r="I21" s="32"/>
      <c r="J21" s="33" t="s">
        <v>20</v>
      </c>
      <c r="K21" s="62">
        <f>SUM(K19:K20)</f>
        <v>1823504509</v>
      </c>
      <c r="L21" s="241"/>
    </row>
    <row r="22" spans="2:14" s="220" customFormat="1" ht="13.5" thickBot="1">
      <c r="B22" s="30"/>
      <c r="C22" s="30"/>
      <c r="D22" s="30"/>
      <c r="E22" s="30"/>
      <c r="F22" s="30"/>
      <c r="G22" s="30"/>
      <c r="H22" s="30"/>
      <c r="I22" s="30"/>
      <c r="J22" s="30"/>
      <c r="K22" s="30"/>
    </row>
    <row r="23" spans="2:14" s="220" customFormat="1" ht="107.25" customHeight="1" thickBot="1">
      <c r="B23" s="30"/>
      <c r="C23" s="30"/>
      <c r="D23" s="30"/>
      <c r="E23" s="30"/>
      <c r="F23" s="30"/>
      <c r="G23" s="30"/>
      <c r="H23" s="30"/>
      <c r="I23" s="30"/>
      <c r="J23" s="45" t="s">
        <v>26</v>
      </c>
      <c r="K23" s="74">
        <f>+K14+K21</f>
        <v>2038891936.1700001</v>
      </c>
      <c r="L23" s="229"/>
      <c r="M23" s="242"/>
    </row>
    <row r="24" spans="2:14">
      <c r="J24" s="284" t="s">
        <v>34</v>
      </c>
      <c r="K24" s="285"/>
      <c r="L24" s="285"/>
    </row>
    <row r="25" spans="2:14">
      <c r="J25" s="286"/>
      <c r="K25" s="286"/>
      <c r="L25" s="286"/>
    </row>
    <row r="26" spans="2:14">
      <c r="J26" s="286"/>
      <c r="K26" s="286"/>
      <c r="L26" s="286"/>
    </row>
    <row r="27" spans="2:14">
      <c r="J27" s="286"/>
      <c r="K27" s="286"/>
      <c r="L27" s="286"/>
    </row>
  </sheetData>
  <mergeCells count="15">
    <mergeCell ref="N13:O13"/>
    <mergeCell ref="I14:J14"/>
    <mergeCell ref="M14:N14"/>
    <mergeCell ref="B1:L1"/>
    <mergeCell ref="B2:L2"/>
    <mergeCell ref="B3:L3"/>
    <mergeCell ref="B4:L4"/>
    <mergeCell ref="B6:C6"/>
    <mergeCell ref="D6:M6"/>
    <mergeCell ref="I15:K15"/>
    <mergeCell ref="B17:L17"/>
    <mergeCell ref="J24:L27"/>
    <mergeCell ref="B7:C7"/>
    <mergeCell ref="D7:M7"/>
    <mergeCell ref="B9:L9"/>
  </mergeCells>
  <pageMargins left="0.74803149606299213" right="0.74803149606299213" top="0.98425196850393704" bottom="0.98425196850393704" header="0.51181102362204722" footer="0.51181102362204722"/>
  <pageSetup scale="3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7"/>
  <sheetViews>
    <sheetView showGridLines="0" topLeftCell="A10" zoomScale="85" zoomScaleNormal="85" zoomScalePageLayoutView="40" workbookViewId="0">
      <selection activeCell="K23" sqref="K23"/>
    </sheetView>
  </sheetViews>
  <sheetFormatPr baseColWidth="10" defaultColWidth="11.42578125" defaultRowHeight="12.75"/>
  <cols>
    <col min="1" max="1" width="6.5703125" customWidth="1"/>
    <col min="2" max="2" width="6" customWidth="1"/>
    <col min="3" max="3" width="37.28515625" customWidth="1"/>
    <col min="4" max="4" width="24.7109375" customWidth="1"/>
    <col min="5" max="5" width="15.7109375" customWidth="1"/>
    <col min="6" max="6" width="28.7109375" customWidth="1"/>
    <col min="7" max="7" width="24.7109375" customWidth="1"/>
    <col min="8" max="8" width="21.42578125" customWidth="1"/>
    <col min="9" max="9" width="23" customWidth="1"/>
    <col min="10" max="10" width="23.5703125" customWidth="1"/>
    <col min="11" max="11" width="29.85546875" customWidth="1"/>
    <col min="12" max="12" width="20.85546875" customWidth="1"/>
    <col min="13" max="14" width="21.5703125" customWidth="1"/>
    <col min="15" max="15" width="21.85546875" customWidth="1"/>
  </cols>
  <sheetData>
    <row r="1" spans="2:14" ht="18.75">
      <c r="B1" s="277" t="s">
        <v>21</v>
      </c>
      <c r="C1" s="278"/>
      <c r="D1" s="278"/>
      <c r="E1" s="278"/>
      <c r="F1" s="278"/>
      <c r="G1" s="278"/>
      <c r="H1" s="278"/>
      <c r="I1" s="278"/>
      <c r="J1" s="278"/>
      <c r="K1" s="278"/>
      <c r="L1" s="278"/>
    </row>
    <row r="2" spans="2:14" ht="59.25" customHeight="1">
      <c r="B2" s="277" t="s">
        <v>22</v>
      </c>
      <c r="C2" s="278"/>
      <c r="D2" s="278"/>
      <c r="E2" s="278"/>
      <c r="F2" s="278"/>
      <c r="G2" s="278"/>
      <c r="H2" s="278"/>
      <c r="I2" s="278"/>
      <c r="J2" s="278"/>
      <c r="K2" s="278"/>
      <c r="L2" s="278"/>
    </row>
    <row r="3" spans="2:14" ht="18.75">
      <c r="B3" s="281" t="s">
        <v>33</v>
      </c>
      <c r="C3" s="281"/>
      <c r="D3" s="281"/>
      <c r="E3" s="281"/>
      <c r="F3" s="281"/>
      <c r="G3" s="281"/>
      <c r="H3" s="281"/>
      <c r="I3" s="281"/>
      <c r="J3" s="281"/>
      <c r="K3" s="281"/>
      <c r="L3" s="281"/>
    </row>
    <row r="4" spans="2:14" ht="18.75">
      <c r="B4" s="281" t="s">
        <v>0</v>
      </c>
      <c r="C4" s="281"/>
      <c r="D4" s="281"/>
      <c r="E4" s="281"/>
      <c r="F4" s="281"/>
      <c r="G4" s="281"/>
      <c r="H4" s="281"/>
      <c r="I4" s="281"/>
      <c r="J4" s="281"/>
      <c r="K4" s="281"/>
      <c r="L4" s="281"/>
    </row>
    <row r="5" spans="2:14" ht="15.75">
      <c r="B5" s="1"/>
      <c r="C5" s="1"/>
      <c r="D5" s="1"/>
      <c r="E5" s="1"/>
      <c r="F5" s="1"/>
      <c r="G5" s="1"/>
      <c r="H5" s="1"/>
      <c r="I5" s="1"/>
      <c r="J5" s="1"/>
      <c r="K5" s="1"/>
      <c r="L5" s="1"/>
    </row>
    <row r="6" spans="2:14" ht="18.75">
      <c r="B6" s="279" t="s">
        <v>23</v>
      </c>
      <c r="C6" s="279"/>
      <c r="D6" s="280" t="s">
        <v>60</v>
      </c>
      <c r="E6" s="280"/>
      <c r="F6" s="280"/>
      <c r="G6" s="280"/>
      <c r="H6" s="280"/>
      <c r="I6" s="280"/>
      <c r="J6" s="280"/>
      <c r="K6" s="280"/>
      <c r="L6" s="280"/>
      <c r="M6" s="280"/>
    </row>
    <row r="7" spans="2:14" ht="18.75">
      <c r="B7" s="279" t="s">
        <v>24</v>
      </c>
      <c r="C7" s="279"/>
      <c r="D7" s="280" t="s">
        <v>60</v>
      </c>
      <c r="E7" s="280"/>
      <c r="F7" s="280"/>
      <c r="G7" s="280"/>
      <c r="H7" s="280"/>
      <c r="I7" s="280"/>
      <c r="J7" s="280"/>
      <c r="K7" s="280"/>
      <c r="L7" s="280"/>
      <c r="M7" s="280"/>
    </row>
    <row r="8" spans="2:14" ht="15.75">
      <c r="B8" s="2"/>
      <c r="C8" s="2"/>
      <c r="D8" s="2"/>
      <c r="E8" s="2"/>
      <c r="F8" s="2"/>
      <c r="G8" s="2"/>
      <c r="H8" s="2"/>
      <c r="I8" s="2"/>
      <c r="J8" s="2"/>
      <c r="K8" s="2"/>
      <c r="L8" s="2"/>
    </row>
    <row r="9" spans="2:14" ht="26.25" customHeight="1" thickBot="1">
      <c r="B9" s="267" t="s">
        <v>1</v>
      </c>
      <c r="C9" s="267"/>
      <c r="D9" s="267"/>
      <c r="E9" s="267"/>
      <c r="F9" s="267"/>
      <c r="G9" s="267"/>
      <c r="H9" s="267"/>
      <c r="I9" s="267"/>
      <c r="J9" s="267"/>
      <c r="K9" s="267"/>
      <c r="L9" s="267"/>
    </row>
    <row r="10" spans="2:14" ht="81" customHeight="1">
      <c r="B10" s="77"/>
      <c r="C10" s="78" t="s">
        <v>2</v>
      </c>
      <c r="D10" s="78" t="s">
        <v>3</v>
      </c>
      <c r="E10" s="78" t="s">
        <v>4</v>
      </c>
      <c r="F10" s="78" t="s">
        <v>5</v>
      </c>
      <c r="G10" s="78" t="s">
        <v>6</v>
      </c>
      <c r="H10" s="78" t="s">
        <v>7</v>
      </c>
      <c r="I10" s="78" t="s">
        <v>8</v>
      </c>
      <c r="J10" s="78" t="s">
        <v>9</v>
      </c>
      <c r="K10" s="78" t="s">
        <v>10</v>
      </c>
      <c r="L10" s="78" t="s">
        <v>11</v>
      </c>
      <c r="M10" s="79" t="s">
        <v>12</v>
      </c>
    </row>
    <row r="11" spans="2:14" ht="69" customHeight="1">
      <c r="B11" s="8">
        <v>1</v>
      </c>
      <c r="C11" s="100" t="s">
        <v>61</v>
      </c>
      <c r="D11" s="81">
        <v>39539</v>
      </c>
      <c r="E11" s="81">
        <v>39812</v>
      </c>
      <c r="F11" s="82">
        <v>0.5</v>
      </c>
      <c r="G11" s="110" t="s">
        <v>29</v>
      </c>
      <c r="H11" s="104" t="s">
        <v>62</v>
      </c>
      <c r="I11" s="51" t="s">
        <v>32</v>
      </c>
      <c r="J11" s="51" t="s">
        <v>32</v>
      </c>
      <c r="K11" s="80">
        <v>1492673500</v>
      </c>
      <c r="L11" s="63">
        <f>K11/461500</f>
        <v>3234.3954496208016</v>
      </c>
      <c r="M11" s="58" t="s">
        <v>15</v>
      </c>
    </row>
    <row r="12" spans="2:14" ht="67.5" customHeight="1">
      <c r="B12" s="8">
        <v>2</v>
      </c>
      <c r="C12" s="91" t="s">
        <v>63</v>
      </c>
      <c r="D12" s="81">
        <v>39873</v>
      </c>
      <c r="E12" s="81">
        <v>40152</v>
      </c>
      <c r="F12" s="82">
        <v>1</v>
      </c>
      <c r="G12" s="110" t="s">
        <v>29</v>
      </c>
      <c r="H12" s="104" t="s">
        <v>64</v>
      </c>
      <c r="I12" s="51" t="s">
        <v>32</v>
      </c>
      <c r="J12" s="51" t="s">
        <v>32</v>
      </c>
      <c r="K12" s="55">
        <v>2685556855</v>
      </c>
      <c r="L12" s="63">
        <f>+K12/496900</f>
        <v>5404.6223686858521</v>
      </c>
      <c r="M12" s="58" t="s">
        <v>15</v>
      </c>
    </row>
    <row r="13" spans="2:14" ht="120.75" customHeight="1">
      <c r="B13" s="8">
        <v>3</v>
      </c>
      <c r="C13" s="91" t="s">
        <v>65</v>
      </c>
      <c r="D13" s="81">
        <v>40346</v>
      </c>
      <c r="E13" s="81">
        <v>40648</v>
      </c>
      <c r="F13" s="82">
        <v>1</v>
      </c>
      <c r="G13" s="110" t="s">
        <v>29</v>
      </c>
      <c r="H13" s="104" t="s">
        <v>66</v>
      </c>
      <c r="I13" s="51" t="s">
        <v>32</v>
      </c>
      <c r="J13" s="51" t="s">
        <v>32</v>
      </c>
      <c r="K13" s="55">
        <v>2818800000</v>
      </c>
      <c r="L13" s="63">
        <f>K13/515000</f>
        <v>5473.3980582524273</v>
      </c>
      <c r="M13" s="58" t="s">
        <v>15</v>
      </c>
    </row>
    <row r="14" spans="2:14" ht="102.75" customHeight="1" thickBot="1">
      <c r="B14" s="18">
        <v>4</v>
      </c>
      <c r="C14" s="83" t="s">
        <v>67</v>
      </c>
      <c r="D14" s="85">
        <v>40057</v>
      </c>
      <c r="E14" s="85">
        <v>40178</v>
      </c>
      <c r="F14" s="84">
        <v>1</v>
      </c>
      <c r="G14" s="86" t="s">
        <v>29</v>
      </c>
      <c r="H14" s="57" t="s">
        <v>66</v>
      </c>
      <c r="I14" s="56" t="s">
        <v>32</v>
      </c>
      <c r="J14" s="56" t="s">
        <v>32</v>
      </c>
      <c r="K14" s="87">
        <v>627549328</v>
      </c>
      <c r="L14" s="47">
        <f>+K14/496900</f>
        <v>1262.9288146508352</v>
      </c>
      <c r="M14" s="54" t="s">
        <v>15</v>
      </c>
    </row>
    <row r="15" spans="2:14" s="31" customFormat="1" ht="59.25" customHeight="1">
      <c r="B15" s="29"/>
      <c r="C15" s="30"/>
      <c r="D15" s="30"/>
      <c r="E15" s="30"/>
      <c r="F15" s="30"/>
      <c r="I15" s="282" t="s">
        <v>16</v>
      </c>
      <c r="J15" s="283"/>
      <c r="K15" s="76">
        <f>SUM(K11:K14)</f>
        <v>7624579683</v>
      </c>
      <c r="M15" s="276"/>
      <c r="N15" s="276"/>
    </row>
    <row r="16" spans="2:14" ht="68.25" customHeight="1" thickBot="1">
      <c r="B16" s="29"/>
      <c r="C16" s="30"/>
      <c r="D16" s="30"/>
      <c r="E16" s="30"/>
      <c r="F16" s="30"/>
      <c r="G16" s="32"/>
      <c r="H16" s="32"/>
      <c r="I16" s="270" t="s">
        <v>35</v>
      </c>
      <c r="J16" s="271"/>
      <c r="K16" s="272"/>
    </row>
    <row r="17" spans="2:13" ht="16.5" customHeight="1"/>
    <row r="18" spans="2:13" ht="16.5" thickBot="1">
      <c r="B18" s="267" t="s">
        <v>36</v>
      </c>
      <c r="C18" s="267"/>
      <c r="D18" s="267"/>
      <c r="E18" s="267"/>
      <c r="F18" s="267"/>
      <c r="G18" s="267"/>
      <c r="H18" s="267"/>
      <c r="I18" s="267"/>
      <c r="J18" s="267"/>
      <c r="K18" s="267"/>
      <c r="L18" s="267"/>
    </row>
    <row r="19" spans="2:13" ht="81.75" customHeight="1" thickBot="1">
      <c r="B19" s="34"/>
      <c r="C19" s="35" t="s">
        <v>2</v>
      </c>
      <c r="D19" s="35" t="s">
        <v>3</v>
      </c>
      <c r="E19" s="35" t="s">
        <v>4</v>
      </c>
      <c r="F19" s="35" t="s">
        <v>17</v>
      </c>
      <c r="G19" s="35" t="s">
        <v>6</v>
      </c>
      <c r="H19" s="35" t="s">
        <v>7</v>
      </c>
      <c r="I19" s="35" t="s">
        <v>8</v>
      </c>
      <c r="J19" s="35" t="s">
        <v>9</v>
      </c>
      <c r="K19" s="35" t="s">
        <v>10</v>
      </c>
      <c r="L19" s="35" t="s">
        <v>11</v>
      </c>
      <c r="M19" s="36" t="s">
        <v>12</v>
      </c>
    </row>
    <row r="20" spans="2:13" s="44" customFormat="1" ht="49.5" customHeight="1" thickBot="1">
      <c r="B20" s="37">
        <v>1</v>
      </c>
      <c r="C20" s="38" t="s">
        <v>32</v>
      </c>
      <c r="D20" s="39" t="s">
        <v>32</v>
      </c>
      <c r="E20" s="39" t="s">
        <v>32</v>
      </c>
      <c r="F20" s="40" t="s">
        <v>32</v>
      </c>
      <c r="G20" s="41" t="s">
        <v>32</v>
      </c>
      <c r="H20" s="38" t="s">
        <v>32</v>
      </c>
      <c r="I20" s="41" t="s">
        <v>32</v>
      </c>
      <c r="J20" s="42" t="s">
        <v>32</v>
      </c>
      <c r="K20" s="61"/>
      <c r="L20" s="27" t="s">
        <v>32</v>
      </c>
      <c r="M20" s="43" t="s">
        <v>32</v>
      </c>
    </row>
    <row r="21" spans="2:13" s="31" customFormat="1" ht="45" customHeight="1" thickBot="1">
      <c r="B21" s="29"/>
      <c r="C21" s="30"/>
      <c r="D21" s="30"/>
      <c r="E21" s="30"/>
      <c r="F21" s="30"/>
      <c r="I21" s="32"/>
      <c r="J21" s="33" t="s">
        <v>20</v>
      </c>
      <c r="K21" s="62">
        <f>SUM(K20)</f>
        <v>0</v>
      </c>
    </row>
    <row r="22" spans="2:13" s="31" customFormat="1" ht="13.5" thickBot="1">
      <c r="B22" s="30"/>
      <c r="C22" s="30"/>
      <c r="D22" s="30"/>
      <c r="E22" s="30"/>
      <c r="F22" s="30"/>
      <c r="G22" s="30"/>
      <c r="H22" s="30"/>
      <c r="I22" s="30"/>
      <c r="J22" s="30"/>
      <c r="K22" s="30"/>
    </row>
    <row r="23" spans="2:13" s="31" customFormat="1" ht="59.25" customHeight="1" thickBot="1">
      <c r="B23" s="30"/>
      <c r="C23" s="30"/>
      <c r="D23" s="30"/>
      <c r="E23" s="30"/>
      <c r="F23" s="30"/>
      <c r="G23" s="30"/>
      <c r="H23" s="30"/>
      <c r="I23" s="30"/>
      <c r="J23" s="45" t="s">
        <v>26</v>
      </c>
      <c r="K23" s="74">
        <f>+K15+K21</f>
        <v>7624579683</v>
      </c>
      <c r="L23" s="46" t="str">
        <f>IF(K23&gt;1.5*461942280,"CUMPLE","NO CUMPLE")</f>
        <v>CUMPLE</v>
      </c>
    </row>
    <row r="24" spans="2:13">
      <c r="J24" s="273" t="s">
        <v>34</v>
      </c>
      <c r="K24" s="274"/>
      <c r="L24" s="274"/>
    </row>
    <row r="25" spans="2:13">
      <c r="J25" s="275"/>
      <c r="K25" s="275"/>
      <c r="L25" s="275"/>
    </row>
    <row r="26" spans="2:13">
      <c r="J26" s="275"/>
      <c r="K26" s="275"/>
      <c r="L26" s="275"/>
    </row>
    <row r="27" spans="2:13">
      <c r="J27" s="275"/>
      <c r="K27" s="275"/>
      <c r="L27" s="275"/>
    </row>
  </sheetData>
  <mergeCells count="14">
    <mergeCell ref="B18:L18"/>
    <mergeCell ref="J24:L27"/>
    <mergeCell ref="B7:C7"/>
    <mergeCell ref="D7:M7"/>
    <mergeCell ref="B9:L9"/>
    <mergeCell ref="I15:J15"/>
    <mergeCell ref="M15:N15"/>
    <mergeCell ref="I16:K16"/>
    <mergeCell ref="B1:L1"/>
    <mergeCell ref="B2:L2"/>
    <mergeCell ref="B3:L3"/>
    <mergeCell ref="B4:L4"/>
    <mergeCell ref="B6:C6"/>
    <mergeCell ref="D6:M6"/>
  </mergeCells>
  <pageMargins left="0.74803149606299213" right="0.74803149606299213" top="0.98425196850393704" bottom="0.98425196850393704" header="0.51181102362204722" footer="0.51181102362204722"/>
  <pageSetup scale="3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24</vt:i4>
      </vt:variant>
      <vt:variant>
        <vt:lpstr>Rangos con nombre</vt:lpstr>
      </vt:variant>
      <vt:variant>
        <vt:i4>11</vt:i4>
      </vt:variant>
    </vt:vector>
  </HeadingPairs>
  <TitlesOfParts>
    <vt:vector size="35" baseType="lpstr">
      <vt:lpstr>Exp. General (1)</vt:lpstr>
      <vt:lpstr>Exp. General (2)</vt:lpstr>
      <vt:lpstr>Exp. General (3)</vt:lpstr>
      <vt:lpstr>Exp. General (4)</vt:lpstr>
      <vt:lpstr>Exp. General (5)</vt:lpstr>
      <vt:lpstr>Exp. General (6)</vt:lpstr>
      <vt:lpstr>Exp. General (7)</vt:lpstr>
      <vt:lpstr>Exp. General (8)</vt:lpstr>
      <vt:lpstr>Exp. General (9)</vt:lpstr>
      <vt:lpstr>Exp. General (10)</vt:lpstr>
      <vt:lpstr>Exp. General (11)</vt:lpstr>
      <vt:lpstr>Resumen Exp. Gen</vt:lpstr>
      <vt:lpstr>Exp. Especif (1)</vt:lpstr>
      <vt:lpstr>Exp. Especif (2)</vt:lpstr>
      <vt:lpstr>Exp. Especif (3)</vt:lpstr>
      <vt:lpstr>Exp. Especif (4)</vt:lpstr>
      <vt:lpstr>Exp. Especif (5)</vt:lpstr>
      <vt:lpstr>Exp. Especif (6)</vt:lpstr>
      <vt:lpstr>Exp. Especif (7)</vt:lpstr>
      <vt:lpstr>Exp. Especif (8)</vt:lpstr>
      <vt:lpstr>Exp. Especif (9)</vt:lpstr>
      <vt:lpstr>Exp. Especif (10)</vt:lpstr>
      <vt:lpstr>Exp. Especif (11)</vt:lpstr>
      <vt:lpstr>Resumen Exp. Especifica</vt:lpstr>
      <vt:lpstr>'Exp. General (1)'!Área_de_impresión</vt:lpstr>
      <vt:lpstr>'Exp. General (10)'!Área_de_impresión</vt:lpstr>
      <vt:lpstr>'Exp. General (11)'!Área_de_impresión</vt:lpstr>
      <vt:lpstr>'Exp. General (2)'!Área_de_impresión</vt:lpstr>
      <vt:lpstr>'Exp. General (3)'!Área_de_impresión</vt:lpstr>
      <vt:lpstr>'Exp. General (4)'!Área_de_impresión</vt:lpstr>
      <vt:lpstr>'Exp. General (5)'!Área_de_impresión</vt:lpstr>
      <vt:lpstr>'Exp. General (6)'!Área_de_impresión</vt:lpstr>
      <vt:lpstr>'Exp. General (7)'!Área_de_impresión</vt:lpstr>
      <vt:lpstr>'Exp. General (8)'!Área_de_impresión</vt:lpstr>
      <vt:lpstr>'Exp. General (9)'!Área_de_impresión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Juan Fernando Herrera Urrego</cp:lastModifiedBy>
  <cp:lastPrinted>2013-04-29T03:41:42Z</cp:lastPrinted>
  <dcterms:created xsi:type="dcterms:W3CDTF">2013-04-28T22:46:59Z</dcterms:created>
  <dcterms:modified xsi:type="dcterms:W3CDTF">2013-05-09T20:46:46Z</dcterms:modified>
</cp:coreProperties>
</file>