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4\APP\VJ-VE-IP-LP-018-201 Popayan Santader de Quilichao\ADJUDICACION\"/>
    </mc:Choice>
  </mc:AlternateContent>
  <bookViews>
    <workbookView xWindow="0" yWindow="0" windowWidth="24000" windowHeight="10425"/>
  </bookViews>
  <sheets>
    <sheet name="Hoja1" sheetId="1" r:id="rId1"/>
  </sheets>
  <externalReferences>
    <externalReference r:id="rId2"/>
  </externalReferenc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B73" i="1"/>
  <c r="C72" i="1"/>
  <c r="C65" i="1"/>
  <c r="A64" i="1"/>
  <c r="C64" i="1" s="1"/>
  <c r="C63" i="1"/>
  <c r="A63" i="1"/>
  <c r="A62" i="1"/>
  <c r="C62" i="1" s="1"/>
  <c r="N57" i="1"/>
  <c r="L57" i="1"/>
  <c r="M57" i="1" s="1"/>
  <c r="J57" i="1"/>
  <c r="K57" i="1" s="1"/>
  <c r="N56" i="1"/>
  <c r="L56" i="1"/>
  <c r="M56" i="1" s="1"/>
  <c r="K56" i="1"/>
  <c r="J56" i="1"/>
  <c r="N55" i="1"/>
  <c r="L55" i="1"/>
  <c r="M55" i="1" s="1"/>
  <c r="J55" i="1"/>
  <c r="K55" i="1" s="1"/>
  <c r="L49" i="1"/>
  <c r="J49" i="1"/>
  <c r="B49" i="1"/>
  <c r="L48" i="1"/>
  <c r="J48" i="1"/>
  <c r="B48" i="1"/>
  <c r="B72" i="1" s="1"/>
  <c r="S43" i="1"/>
  <c r="R43" i="1"/>
  <c r="Q43" i="1"/>
  <c r="P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O43" i="1" s="1"/>
  <c r="C49" i="1" s="1"/>
  <c r="N21" i="1"/>
  <c r="N43" i="1" s="1"/>
  <c r="C48" i="1" s="1"/>
  <c r="C13" i="1"/>
  <c r="C12" i="1" s="1"/>
  <c r="B13" i="1"/>
  <c r="B12" i="1" s="1"/>
  <c r="B11" i="1"/>
  <c r="U2" i="1"/>
  <c r="T2" i="1" s="1"/>
  <c r="S1" i="1"/>
  <c r="N48" i="1" l="1"/>
  <c r="C58" i="1"/>
  <c r="K49" i="1"/>
  <c r="N49" i="1"/>
  <c r="M49" i="1"/>
  <c r="K48" i="1"/>
  <c r="D72" i="1"/>
  <c r="M48" i="1"/>
  <c r="D73" i="1"/>
</calcChain>
</file>

<file path=xl/sharedStrings.xml><?xml version="1.0" encoding="utf-8"?>
<sst xmlns="http://schemas.openxmlformats.org/spreadsheetml/2006/main" count="39" uniqueCount="32">
  <si>
    <t>BALOTA:</t>
  </si>
  <si>
    <t>METODO:</t>
  </si>
  <si>
    <t>OF.ECON. (700 puntos):</t>
  </si>
  <si>
    <t>Agencia Nacional de Infraestructura</t>
  </si>
  <si>
    <t xml:space="preserve"> Licitación Pública No.   VJ-VE-IP-018-2013</t>
  </si>
  <si>
    <t>Proyecto Vial " Popayan - Santander de Quilichao"</t>
  </si>
  <si>
    <t>VPAA:</t>
  </si>
  <si>
    <t>TDI</t>
  </si>
  <si>
    <t>VPAA</t>
  </si>
  <si>
    <t>REDOND</t>
  </si>
  <si>
    <t>Vigencias Futuras solicitadas por el Proponente en pesos de diciembre de 2013</t>
  </si>
  <si>
    <t>Año</t>
  </si>
  <si>
    <t xml:space="preserve">1.  HIDALGO E HIDALGO S.A SUCURSAL COLOMBIA. - HIDALGO E HIDALGO COLOMBIA S.A.S. - CASS CONSTRUCTORES &amp;
CIA S.C.A. - CARLOS ALBERTO SOLARTE SOLARTE.
</t>
  </si>
  <si>
    <t xml:space="preserve">2.KMA CONSTRUCCIONES S.A.- ORTIZ CONSTRUCCIONES Y PROYECTOS S.A.- EQUIPO UNIVERSAL S.A.- OBRESCA S.A.S. </t>
  </si>
  <si>
    <t>El perfil de vigencias futuras aprobadas por el Gobierno Nacional:</t>
  </si>
  <si>
    <t>Oferta 1</t>
  </si>
  <si>
    <t>Oferta 2</t>
  </si>
  <si>
    <t>No. Oferta</t>
  </si>
  <si>
    <t>Proponente</t>
  </si>
  <si>
    <t>VPAA FORMULADO (Calculo ANI)</t>
  </si>
  <si>
    <t>Puntaje</t>
  </si>
  <si>
    <t>%</t>
  </si>
  <si>
    <t>VPAA Ofertado igual VPAA Formulado</t>
  </si>
  <si>
    <t>Total Ofertas Válidas</t>
  </si>
  <si>
    <t>Seleccionar alternativa</t>
  </si>
  <si>
    <t>Media geométrica ajustada</t>
  </si>
  <si>
    <t>Límite inferior (90%)</t>
  </si>
  <si>
    <t>PUNTAJE OFERTA ECONÓMICA</t>
  </si>
  <si>
    <t>MEDIA GEOMETRICA CON P.O.</t>
  </si>
  <si>
    <t>Puntaje Oferta Económica</t>
  </si>
  <si>
    <t>Media aritmética con mediana</t>
  </si>
  <si>
    <t>Media aritmética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</si>
</sst>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0.0000%"/>
    <numFmt numFmtId="168" formatCode="_(&quot;$&quot;\ * #,##0_);_(&quot;$&quot;\ * \(#,##0\);_(&quot;$&quot;\ * &quot;-&quot;??_);_(@_)"/>
    <numFmt numFmtId="169" formatCode="_-* #,##0_-;\-* #,##0_-;_-* &quot;-&quot;??_-;_-@_-"/>
    <numFmt numFmtId="170" formatCode="_(* #,##0.00000_);_(* \(#,##0.00000\);_(* &quot;-&quot;??_);_(@_)"/>
    <numFmt numFmtId="171" formatCode="&quot;$&quot;\ #,##0_);[Red]\(&quot;$&quot;\ #,##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rgb="FF3D3D3D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164" fontId="3" fillId="3" borderId="0" xfId="3" applyNumberFormat="1" applyFont="1" applyFill="1" applyBorder="1" applyAlignment="1" applyProtection="1">
      <alignment horizontal="center" vertical="center"/>
      <protection locked="0"/>
    </xf>
    <xf numFmtId="166" fontId="3" fillId="3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6" fontId="5" fillId="0" borderId="0" xfId="0" applyNumberFormat="1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166" fontId="14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168" fontId="3" fillId="0" borderId="0" xfId="2" applyNumberFormat="1" applyFont="1" applyFill="1" applyAlignment="1" applyProtection="1">
      <alignment horizontal="left" vertical="center"/>
      <protection locked="0"/>
    </xf>
    <xf numFmtId="9" fontId="13" fillId="0" borderId="0" xfId="3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6" fontId="15" fillId="0" borderId="0" xfId="0" applyNumberFormat="1" applyFont="1" applyFill="1" applyAlignment="1">
      <alignment vertical="center"/>
    </xf>
    <xf numFmtId="6" fontId="15" fillId="0" borderId="0" xfId="0" applyNumberFormat="1" applyFont="1" applyAlignment="1">
      <alignment vertical="center"/>
    </xf>
    <xf numFmtId="8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Fill="1" applyAlignment="1" applyProtection="1">
      <alignment vertical="center"/>
      <protection locked="0"/>
    </xf>
    <xf numFmtId="168" fontId="16" fillId="0" borderId="0" xfId="2" applyNumberFormat="1" applyFont="1" applyFill="1" applyAlignment="1" applyProtection="1">
      <alignment horizontal="left" vertical="center"/>
      <protection locked="0"/>
    </xf>
    <xf numFmtId="9" fontId="15" fillId="0" borderId="0" xfId="3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8" fontId="15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8" fontId="11" fillId="0" borderId="0" xfId="2" applyNumberFormat="1" applyFont="1" applyFill="1" applyAlignment="1" applyProtection="1">
      <alignment horizontal="left" vertical="center"/>
      <protection locked="0"/>
    </xf>
    <xf numFmtId="9" fontId="12" fillId="0" borderId="0" xfId="3" applyFont="1" applyFill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6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6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19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66" fontId="4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vertical="center"/>
    </xf>
    <xf numFmtId="168" fontId="11" fillId="0" borderId="0" xfId="2" applyNumberFormat="1" applyFont="1" applyFill="1" applyBorder="1" applyAlignment="1" applyProtection="1">
      <alignment horizontal="left" vertical="center"/>
      <protection locked="0"/>
    </xf>
    <xf numFmtId="9" fontId="12" fillId="0" borderId="0" xfId="3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66" fontId="5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0" fillId="0" borderId="5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166" fontId="22" fillId="5" borderId="6" xfId="1" applyNumberFormat="1" applyFont="1" applyFill="1" applyBorder="1" applyAlignment="1" applyProtection="1">
      <alignment horizontal="center" vertical="center" wrapText="1"/>
      <protection locked="0"/>
    </xf>
    <xf numFmtId="169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166" fontId="12" fillId="0" borderId="7" xfId="1" applyNumberFormat="1" applyFont="1" applyBorder="1" applyAlignment="1" applyProtection="1">
      <alignment horizontal="center" vertical="center"/>
      <protection locked="0"/>
    </xf>
    <xf numFmtId="164" fontId="12" fillId="0" borderId="8" xfId="3" applyNumberFormat="1" applyFont="1" applyBorder="1" applyAlignment="1">
      <alignment horizontal="center" vertical="center"/>
    </xf>
    <xf numFmtId="10" fontId="12" fillId="0" borderId="1" xfId="3" applyNumberFormat="1" applyFont="1" applyBorder="1" applyAlignment="1">
      <alignment horizontal="center" vertical="center"/>
    </xf>
    <xf numFmtId="166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12" fillId="0" borderId="9" xfId="1" applyNumberFormat="1" applyFont="1" applyBorder="1" applyAlignment="1" applyProtection="1">
      <alignment horizontal="center" vertical="center"/>
      <protection locked="0"/>
    </xf>
    <xf numFmtId="164" fontId="12" fillId="0" borderId="5" xfId="3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0" fontId="5" fillId="0" borderId="0" xfId="0" applyNumberFormat="1" applyFont="1" applyAlignment="1">
      <alignment vertical="center"/>
    </xf>
    <xf numFmtId="171" fontId="4" fillId="3" borderId="0" xfId="1" applyNumberFormat="1" applyFont="1" applyFill="1" applyBorder="1" applyAlignment="1" applyProtection="1">
      <alignment horizontal="center" vertical="center"/>
    </xf>
    <xf numFmtId="166" fontId="13" fillId="0" borderId="9" xfId="1" applyNumberFormat="1" applyFont="1" applyBorder="1" applyAlignment="1" applyProtection="1">
      <alignment horizontal="center" vertical="center"/>
      <protection locked="0"/>
    </xf>
    <xf numFmtId="164" fontId="13" fillId="0" borderId="5" xfId="3" applyNumberFormat="1" applyFont="1" applyBorder="1" applyAlignment="1">
      <alignment horizontal="center" vertical="center"/>
    </xf>
    <xf numFmtId="164" fontId="13" fillId="0" borderId="0" xfId="3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171" fontId="4" fillId="0" borderId="1" xfId="1" applyNumberFormat="1" applyFont="1" applyFill="1" applyBorder="1" applyAlignment="1" applyProtection="1">
      <alignment horizontal="center" vertical="center"/>
    </xf>
    <xf numFmtId="166" fontId="13" fillId="0" borderId="5" xfId="1" applyNumberFormat="1" applyFont="1" applyBorder="1" applyAlignment="1" applyProtection="1">
      <alignment horizontal="center" vertical="center"/>
      <protection locked="0"/>
    </xf>
    <xf numFmtId="166" fontId="13" fillId="0" borderId="10" xfId="1" applyNumberFormat="1" applyFont="1" applyBorder="1" applyAlignment="1" applyProtection="1">
      <alignment horizontal="center" vertical="center"/>
      <protection locked="0"/>
    </xf>
    <xf numFmtId="164" fontId="13" fillId="0" borderId="11" xfId="3" applyNumberFormat="1" applyFont="1" applyBorder="1" applyAlignment="1">
      <alignment horizontal="center" vertical="center"/>
    </xf>
    <xf numFmtId="166" fontId="13" fillId="0" borderId="12" xfId="1" applyNumberFormat="1" applyFont="1" applyBorder="1" applyAlignment="1" applyProtection="1">
      <alignment horizontal="center" vertical="center"/>
      <protection locked="0"/>
    </xf>
    <xf numFmtId="166" fontId="24" fillId="7" borderId="1" xfId="0" applyNumberFormat="1" applyFont="1" applyFill="1" applyBorder="1" applyAlignment="1">
      <alignment horizontal="left" vertical="center"/>
    </xf>
    <xf numFmtId="0" fontId="5" fillId="7" borderId="1" xfId="0" applyFont="1" applyFill="1" applyBorder="1" applyAlignment="1">
      <alignment vertical="center"/>
    </xf>
    <xf numFmtId="166" fontId="25" fillId="7" borderId="1" xfId="0" applyNumberFormat="1" applyFont="1" applyFill="1" applyBorder="1" applyAlignment="1">
      <alignment horizontal="center" vertical="center"/>
    </xf>
    <xf numFmtId="166" fontId="24" fillId="3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6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20" fillId="0" borderId="0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0" xfId="0" applyNumberFormat="1" applyFont="1" applyAlignment="1">
      <alignment vertical="center"/>
    </xf>
    <xf numFmtId="43" fontId="20" fillId="0" borderId="0" xfId="1" applyNumberFormat="1" applyFont="1" applyFill="1" applyBorder="1" applyAlignment="1" applyProtection="1">
      <alignment horizontal="center" vertical="center" wrapText="1"/>
      <protection locked="0"/>
    </xf>
    <xf numFmtId="166" fontId="26" fillId="0" borderId="0" xfId="1" applyNumberFormat="1" applyFont="1" applyFill="1" applyBorder="1" applyAlignment="1" applyProtection="1">
      <alignment horizontal="center" vertical="center" wrapText="1"/>
      <protection locked="0"/>
    </xf>
    <xf numFmtId="166" fontId="26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7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166" fontId="30" fillId="0" borderId="1" xfId="1" applyNumberFormat="1" applyFont="1" applyBorder="1" applyAlignment="1" applyProtection="1">
      <alignment horizontal="center" vertical="center"/>
      <protection locked="0"/>
    </xf>
    <xf numFmtId="10" fontId="31" fillId="0" borderId="1" xfId="3" applyNumberFormat="1" applyFont="1" applyBorder="1" applyAlignment="1">
      <alignment horizontal="center" vertical="center"/>
    </xf>
    <xf numFmtId="164" fontId="31" fillId="0" borderId="0" xfId="3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165" fontId="30" fillId="0" borderId="0" xfId="1" applyNumberFormat="1" applyFont="1" applyBorder="1" applyAlignment="1" applyProtection="1">
      <alignment horizontal="center" vertical="center"/>
      <protection locked="0"/>
    </xf>
    <xf numFmtId="10" fontId="31" fillId="0" borderId="0" xfId="3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66" fontId="20" fillId="4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3</xdr:row>
      <xdr:rowOff>127000</xdr:rowOff>
    </xdr:from>
    <xdr:to>
      <xdr:col>1</xdr:col>
      <xdr:colOff>985309</xdr:colOff>
      <xdr:row>6</xdr:row>
      <xdr:rowOff>26064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232834" y="288925"/>
          <a:ext cx="1371600" cy="5562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pupo/Documents/Gpupo/MODO%20CARRETERO/CARRETRERO/GRUPO%202/POPAYAN%20-%20SANTANDER%20QUILICHAO/Final%20F&#243;rmula%20de%20adjudicaci&#243;n%20POpayan%20Santander%20de%20Quilichao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s o Tres Ofertas"/>
      <sheetName val="Math"/>
      <sheetName val="Una"/>
      <sheetName val="Tablero Adjudicación"/>
      <sheetName val="Oferta Economica "/>
      <sheetName val="Puntaje Total"/>
      <sheetName val="Datos Grupo 3"/>
    </sheetNames>
    <sheetDataSet>
      <sheetData sheetId="0"/>
      <sheetData sheetId="1">
        <row r="1">
          <cell r="F1" t="str">
            <v>1.MEDIA ARITMETICA
CON MEDIANA</v>
          </cell>
        </row>
        <row r="2">
          <cell r="E2" t="str">
            <v>media aritmetica</v>
          </cell>
          <cell r="F2">
            <v>994653684006</v>
          </cell>
        </row>
        <row r="3">
          <cell r="E3" t="str">
            <v>mediana</v>
          </cell>
          <cell r="F3">
            <v>994653684006</v>
          </cell>
        </row>
        <row r="4">
          <cell r="E4" t="str">
            <v>Media aritmética con mediana</v>
          </cell>
          <cell r="F4">
            <v>994653684006</v>
          </cell>
        </row>
        <row r="5">
          <cell r="E5" t="str">
            <v>limite inf (90%)</v>
          </cell>
          <cell r="F5">
            <v>895188315605.40002</v>
          </cell>
        </row>
        <row r="6">
          <cell r="E6" t="str">
            <v>media aritmetica</v>
          </cell>
          <cell r="G6">
            <v>994653684006</v>
          </cell>
        </row>
        <row r="7">
          <cell r="E7" t="str">
            <v>max</v>
          </cell>
          <cell r="G7">
            <v>1062118685412.0001</v>
          </cell>
        </row>
        <row r="8">
          <cell r="E8" t="str">
            <v>Media aritmética alta</v>
          </cell>
          <cell r="G8">
            <v>1028386184709</v>
          </cell>
        </row>
        <row r="9">
          <cell r="E9" t="str">
            <v>limite inf (90%)</v>
          </cell>
          <cell r="G9">
            <v>925547566238.09998</v>
          </cell>
        </row>
        <row r="10">
          <cell r="E10" t="str">
            <v>ppto oficial</v>
          </cell>
          <cell r="H10">
            <v>1067033634713</v>
          </cell>
        </row>
        <row r="11">
          <cell r="E11" t="str">
            <v>Media geométrica ajustada</v>
          </cell>
          <cell r="H11">
            <v>1029021259791.6454</v>
          </cell>
        </row>
        <row r="12">
          <cell r="F12" t="str">
            <v>producto p.o.</v>
          </cell>
          <cell r="H12">
            <v>1.138560777608836E+24</v>
          </cell>
        </row>
        <row r="13">
          <cell r="F13" t="str">
            <v>producto ofertas</v>
          </cell>
          <cell r="H13">
            <v>9.8478442469199624E+23</v>
          </cell>
        </row>
        <row r="14">
          <cell r="F14" t="str">
            <v>raiz</v>
          </cell>
          <cell r="H14">
            <v>1029021259791.6454</v>
          </cell>
        </row>
        <row r="15">
          <cell r="E15" t="str">
            <v>limite inf (90%)</v>
          </cell>
          <cell r="H15">
            <v>926119133812.48083</v>
          </cell>
        </row>
        <row r="18">
          <cell r="E18" t="str">
            <v>Oferta Económica</v>
          </cell>
          <cell r="F18" t="str">
            <v>Válidas Método 1</v>
          </cell>
          <cell r="G18" t="str">
            <v>Válidas Método 2</v>
          </cell>
        </row>
        <row r="19">
          <cell r="E19">
            <v>927188682600</v>
          </cell>
          <cell r="F19">
            <v>927188682600</v>
          </cell>
          <cell r="G19">
            <v>927188682600</v>
          </cell>
        </row>
        <row r="20">
          <cell r="E20">
            <v>1062118685412.0001</v>
          </cell>
          <cell r="F20">
            <v>1062118685412.0001</v>
          </cell>
          <cell r="G20">
            <v>1062118685412.0001</v>
          </cell>
        </row>
        <row r="21">
          <cell r="E21">
            <v>0</v>
          </cell>
          <cell r="F21" t="str">
            <v/>
          </cell>
          <cell r="G21" t="str">
            <v/>
          </cell>
        </row>
        <row r="22">
          <cell r="E22">
            <v>0</v>
          </cell>
          <cell r="F22" t="str">
            <v/>
          </cell>
          <cell r="G22" t="str">
            <v/>
          </cell>
        </row>
        <row r="23">
          <cell r="E23">
            <v>0</v>
          </cell>
          <cell r="F23" t="str">
            <v/>
          </cell>
          <cell r="G23" t="str">
            <v/>
          </cell>
        </row>
        <row r="24">
          <cell r="E24">
            <v>0</v>
          </cell>
          <cell r="F24" t="str">
            <v/>
          </cell>
          <cell r="G24" t="str">
            <v/>
          </cell>
        </row>
        <row r="25">
          <cell r="E25">
            <v>0</v>
          </cell>
          <cell r="F25" t="str">
            <v/>
          </cell>
          <cell r="G25" t="str">
            <v/>
          </cell>
        </row>
        <row r="26">
          <cell r="E26">
            <v>0</v>
          </cell>
          <cell r="F26" t="str">
            <v/>
          </cell>
          <cell r="G26" t="str">
            <v/>
          </cell>
        </row>
        <row r="27">
          <cell r="E27">
            <v>0</v>
          </cell>
          <cell r="F27" t="str">
            <v/>
          </cell>
          <cell r="G27" t="str">
            <v/>
          </cell>
        </row>
        <row r="28">
          <cell r="E28">
            <v>0</v>
          </cell>
          <cell r="F28" t="str">
            <v/>
          </cell>
          <cell r="G28" t="str">
            <v/>
          </cell>
        </row>
        <row r="29">
          <cell r="F29" t="str">
            <v>1.MEDIA ARITMETICA
CON MEDIANA</v>
          </cell>
          <cell r="G29" t="str">
            <v>2.MEDIA ARITMETICA
ALTA</v>
          </cell>
        </row>
        <row r="30">
          <cell r="F30">
            <v>927188682600</v>
          </cell>
        </row>
        <row r="31">
          <cell r="E31" t="str">
            <v>Asignación de Puntaje</v>
          </cell>
          <cell r="F31">
            <v>700</v>
          </cell>
        </row>
        <row r="32">
          <cell r="E32">
            <v>1</v>
          </cell>
          <cell r="F32">
            <v>700</v>
          </cell>
          <cell r="G32">
            <v>700</v>
          </cell>
          <cell r="H32">
            <v>700</v>
          </cell>
          <cell r="R32">
            <v>927188682600</v>
          </cell>
          <cell r="T32">
            <v>927188682600</v>
          </cell>
          <cell r="V32">
            <v>927188682600</v>
          </cell>
        </row>
        <row r="33">
          <cell r="E33">
            <v>2</v>
          </cell>
          <cell r="F33">
            <v>611</v>
          </cell>
          <cell r="G33">
            <v>611</v>
          </cell>
          <cell r="H33">
            <v>611</v>
          </cell>
        </row>
        <row r="34">
          <cell r="E34">
            <v>3</v>
          </cell>
          <cell r="F34" t="str">
            <v/>
          </cell>
          <cell r="G34" t="str">
            <v/>
          </cell>
        </row>
        <row r="35">
          <cell r="E35">
            <v>4</v>
          </cell>
          <cell r="F35" t="str">
            <v/>
          </cell>
          <cell r="G35" t="str">
            <v/>
          </cell>
        </row>
        <row r="36">
          <cell r="E36">
            <v>5</v>
          </cell>
          <cell r="F36" t="str">
            <v/>
          </cell>
          <cell r="G36" t="str">
            <v/>
          </cell>
        </row>
        <row r="37">
          <cell r="E37">
            <v>6</v>
          </cell>
          <cell r="F37" t="str">
            <v/>
          </cell>
          <cell r="G37" t="str">
            <v/>
          </cell>
        </row>
        <row r="38">
          <cell r="E38">
            <v>7</v>
          </cell>
          <cell r="F38" t="str">
            <v/>
          </cell>
          <cell r="G38" t="str">
            <v/>
          </cell>
        </row>
        <row r="39">
          <cell r="E39">
            <v>8</v>
          </cell>
          <cell r="F39" t="str">
            <v/>
          </cell>
          <cell r="G39" t="str">
            <v/>
          </cell>
          <cell r="H39" t="str">
            <v/>
          </cell>
        </row>
        <row r="40">
          <cell r="E40">
            <v>9</v>
          </cell>
          <cell r="F40" t="str">
            <v/>
          </cell>
          <cell r="G40" t="str">
            <v/>
          </cell>
          <cell r="H40" t="str">
            <v/>
          </cell>
        </row>
        <row r="41">
          <cell r="E41">
            <v>10</v>
          </cell>
          <cell r="F41" t="str">
            <v/>
          </cell>
          <cell r="G41" t="str">
            <v/>
          </cell>
          <cell r="H41" t="str">
            <v/>
          </cell>
        </row>
      </sheetData>
      <sheetData sheetId="2"/>
      <sheetData sheetId="3">
        <row r="62">
          <cell r="A62" t="str">
            <v>ppto oficial</v>
          </cell>
        </row>
        <row r="63">
          <cell r="A63" t="str">
            <v/>
          </cell>
          <cell r="F63" t="str">
            <v>Media geométrica ajustada</v>
          </cell>
        </row>
        <row r="64">
          <cell r="A64" t="str">
            <v>Media geométrica ajustada</v>
          </cell>
        </row>
        <row r="82">
          <cell r="B82" t="str">
            <v>Media aritmética alta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abSelected="1" topLeftCell="A3" workbookViewId="0">
      <selection activeCell="C15" sqref="C15"/>
    </sheetView>
  </sheetViews>
  <sheetFormatPr baseColWidth="10" defaultColWidth="11.42578125" defaultRowHeight="12.75" x14ac:dyDescent="0.25"/>
  <cols>
    <col min="1" max="1" width="9.28515625" style="3" bestFit="1" customWidth="1"/>
    <col min="2" max="2" width="44" style="3" customWidth="1"/>
    <col min="3" max="3" width="44" style="54" customWidth="1"/>
    <col min="4" max="4" width="22" style="54" bestFit="1" customWidth="1"/>
    <col min="5" max="5" width="12" style="54" customWidth="1"/>
    <col min="6" max="6" width="18.140625" style="54" customWidth="1"/>
    <col min="7" max="7" width="28.5703125" style="54" hidden="1" customWidth="1"/>
    <col min="8" max="8" width="36.42578125" style="54" hidden="1" customWidth="1"/>
    <col min="9" max="9" width="32.28515625" style="3" hidden="1" customWidth="1"/>
    <col min="10" max="10" width="7" style="3" hidden="1" customWidth="1"/>
    <col min="11" max="11" width="6.85546875" style="3" hidden="1" customWidth="1"/>
    <col min="12" max="12" width="7" style="3" hidden="1" customWidth="1"/>
    <col min="13" max="13" width="25.42578125" style="3" customWidth="1"/>
    <col min="14" max="14" width="20.5703125" style="3" bestFit="1" customWidth="1"/>
    <col min="15" max="18" width="17.5703125" style="3" customWidth="1"/>
    <col min="19" max="19" width="22.5703125" style="14" customWidth="1"/>
    <col min="20" max="20" width="12.42578125" style="14" customWidth="1"/>
    <col min="21" max="21" width="17.7109375" style="14" customWidth="1"/>
    <col min="22" max="16384" width="11.42578125" style="3"/>
  </cols>
  <sheetData>
    <row r="1" spans="1:25" hidden="1" x14ac:dyDescent="0.25">
      <c r="A1" s="1" t="s">
        <v>0</v>
      </c>
      <c r="B1" s="2">
        <v>3</v>
      </c>
      <c r="C1" s="3"/>
      <c r="D1" s="3"/>
      <c r="E1" s="3"/>
      <c r="F1" s="3"/>
      <c r="G1" s="3"/>
      <c r="H1" s="3"/>
      <c r="R1" s="3" t="s">
        <v>1</v>
      </c>
      <c r="S1" s="4">
        <f>+B1</f>
        <v>3</v>
      </c>
      <c r="T1" s="4"/>
      <c r="U1" s="4"/>
    </row>
    <row r="2" spans="1:25" hidden="1" x14ac:dyDescent="0.25">
      <c r="C2" s="3"/>
      <c r="D2" s="3"/>
      <c r="E2" s="3"/>
      <c r="F2" s="3"/>
      <c r="G2" s="3"/>
      <c r="H2" s="3"/>
      <c r="R2" s="3" t="s">
        <v>2</v>
      </c>
      <c r="S2" s="4"/>
      <c r="T2" s="5">
        <f>+U2/B9</f>
        <v>0.86894044614571675</v>
      </c>
      <c r="U2" s="6">
        <f>IF(B1=1,[1]Math!R32,IF(B1=2,[1]Math!T32,[1]Math!V32))</f>
        <v>927188682600</v>
      </c>
    </row>
    <row r="3" spans="1:25" x14ac:dyDescent="0.25">
      <c r="C3" s="3"/>
      <c r="D3" s="3"/>
      <c r="E3" s="3"/>
      <c r="F3" s="3"/>
      <c r="G3" s="3"/>
      <c r="H3" s="3"/>
      <c r="S3" s="4"/>
      <c r="T3" s="5"/>
      <c r="U3" s="6"/>
    </row>
    <row r="4" spans="1:25" x14ac:dyDescent="0.25">
      <c r="C4" s="3"/>
      <c r="D4" s="3"/>
      <c r="E4" s="3"/>
      <c r="F4" s="3"/>
      <c r="G4" s="3"/>
      <c r="H4" s="3"/>
      <c r="S4" s="4"/>
      <c r="T4" s="5"/>
      <c r="U4" s="6"/>
    </row>
    <row r="5" spans="1:25" s="7" customFormat="1" ht="23.25" x14ac:dyDescent="0.25">
      <c r="B5" s="122" t="s">
        <v>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8"/>
      <c r="P5" s="8"/>
      <c r="Q5" s="8"/>
      <c r="R5" s="8"/>
      <c r="S5" s="9"/>
      <c r="T5" s="9"/>
      <c r="U5" s="9"/>
      <c r="V5" s="8"/>
      <c r="W5" s="8"/>
      <c r="X5" s="8"/>
      <c r="Y5" s="8"/>
    </row>
    <row r="6" spans="1:25" s="7" customFormat="1" ht="15.75" x14ac:dyDescent="0.25">
      <c r="B6" s="123" t="s">
        <v>4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8"/>
      <c r="P6" s="8"/>
      <c r="Q6" s="8"/>
      <c r="R6" s="8"/>
      <c r="S6" s="9"/>
      <c r="T6" s="9"/>
      <c r="U6" s="9"/>
      <c r="V6" s="8"/>
      <c r="W6" s="8"/>
      <c r="X6" s="8"/>
      <c r="Y6" s="8"/>
    </row>
    <row r="7" spans="1:25" s="7" customFormat="1" ht="15.75" x14ac:dyDescent="0.25">
      <c r="B7" s="124" t="s">
        <v>5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8"/>
      <c r="P7" s="10"/>
      <c r="Q7" s="10"/>
      <c r="R7" s="10"/>
      <c r="S7" s="9"/>
      <c r="T7" s="9"/>
      <c r="U7" s="9"/>
      <c r="V7" s="8"/>
      <c r="W7" s="8"/>
      <c r="X7" s="8"/>
      <c r="Y7" s="8"/>
    </row>
    <row r="8" spans="1:25" x14ac:dyDescent="0.25">
      <c r="C8" s="3"/>
      <c r="D8" s="3"/>
      <c r="E8" s="3"/>
      <c r="F8" s="3"/>
      <c r="G8" s="3"/>
      <c r="H8" s="3"/>
      <c r="S8" s="4"/>
      <c r="T8" s="5"/>
      <c r="U8" s="6"/>
    </row>
    <row r="9" spans="1:25" ht="15.75" x14ac:dyDescent="0.25">
      <c r="A9" s="11" t="s">
        <v>6</v>
      </c>
      <c r="B9" s="12">
        <v>1067033634713</v>
      </c>
      <c r="C9" s="13"/>
      <c r="D9" s="3"/>
      <c r="E9" s="3"/>
      <c r="F9" s="3"/>
      <c r="G9" s="3"/>
      <c r="H9" s="3"/>
    </row>
    <row r="10" spans="1:25" x14ac:dyDescent="0.25">
      <c r="A10" s="15" t="s">
        <v>7</v>
      </c>
      <c r="B10" s="16">
        <v>5.5710000000000004E-3</v>
      </c>
      <c r="C10" s="3"/>
      <c r="D10" s="3"/>
      <c r="E10" s="3"/>
      <c r="F10" s="3"/>
      <c r="G10" s="3"/>
      <c r="H10" s="3"/>
      <c r="J10" s="17"/>
      <c r="K10" s="18"/>
      <c r="L10" s="19"/>
      <c r="M10" s="19"/>
      <c r="N10" s="18"/>
    </row>
    <row r="11" spans="1:25" s="22" customFormat="1" ht="15.75" x14ac:dyDescent="0.25">
      <c r="A11" s="20" t="s">
        <v>8</v>
      </c>
      <c r="B11" s="21">
        <f>+NPV((1+B10)^12-1,M16:M42)</f>
        <v>1067033634713.0551</v>
      </c>
      <c r="J11" s="23"/>
      <c r="K11" s="20"/>
      <c r="L11" s="24"/>
      <c r="M11" s="25"/>
      <c r="N11" s="20"/>
      <c r="S11" s="26"/>
      <c r="T11" s="26"/>
      <c r="U11" s="26"/>
    </row>
    <row r="12" spans="1:25" s="31" customFormat="1" x14ac:dyDescent="0.25">
      <c r="A12" s="27" t="s">
        <v>9</v>
      </c>
      <c r="B12" s="28">
        <f>+ROUND(B13/100,2)*100</f>
        <v>927188682600</v>
      </c>
      <c r="C12" s="29">
        <f>+ROUND(C13/100,2)*100</f>
        <v>1062118685412.0001</v>
      </c>
      <c r="D12" s="30"/>
      <c r="E12" s="30"/>
      <c r="F12" s="30"/>
      <c r="G12" s="30"/>
      <c r="H12" s="3"/>
      <c r="J12" s="32"/>
      <c r="K12" s="27"/>
      <c r="L12" s="33"/>
      <c r="M12" s="34"/>
      <c r="N12" s="27"/>
      <c r="S12" s="35"/>
      <c r="T12" s="35"/>
      <c r="U12" s="35"/>
    </row>
    <row r="13" spans="1:25" s="31" customFormat="1" x14ac:dyDescent="0.25">
      <c r="A13" s="27"/>
      <c r="B13" s="28">
        <f>+NPV((1+$B$10)^12-1,B16:B42)</f>
        <v>927188682599.57275</v>
      </c>
      <c r="C13" s="28">
        <f>+NPV((1+$B$10)^12-1,C16:C42)</f>
        <v>1062118685412.0155</v>
      </c>
      <c r="D13" s="36"/>
      <c r="E13" s="36"/>
      <c r="F13" s="36"/>
      <c r="G13" s="36"/>
      <c r="H13" s="3"/>
      <c r="J13" s="32"/>
      <c r="K13" s="27"/>
      <c r="L13" s="33"/>
      <c r="M13" s="34"/>
      <c r="N13" s="27"/>
      <c r="S13" s="35"/>
      <c r="T13" s="35"/>
      <c r="U13" s="35"/>
    </row>
    <row r="14" spans="1:25" ht="15.75" customHeight="1" x14ac:dyDescent="0.25">
      <c r="B14" s="125" t="s">
        <v>10</v>
      </c>
      <c r="C14" s="125"/>
      <c r="D14" s="37"/>
      <c r="E14" s="37"/>
      <c r="F14" s="37"/>
      <c r="G14" s="37"/>
      <c r="H14" s="3"/>
      <c r="J14" s="17"/>
      <c r="K14" s="18"/>
      <c r="L14" s="38"/>
      <c r="M14" s="39"/>
    </row>
    <row r="15" spans="1:25" ht="97.5" customHeight="1" x14ac:dyDescent="0.25">
      <c r="A15" s="11" t="s">
        <v>11</v>
      </c>
      <c r="B15" s="40" t="s">
        <v>12</v>
      </c>
      <c r="C15" s="41" t="s">
        <v>13</v>
      </c>
      <c r="D15" s="42"/>
      <c r="E15" s="42"/>
      <c r="F15" s="42"/>
      <c r="G15" s="42"/>
      <c r="H15" s="3"/>
      <c r="I15" s="17"/>
      <c r="J15" s="18"/>
      <c r="K15" s="38"/>
      <c r="L15" s="39"/>
      <c r="M15" s="11" t="s">
        <v>14</v>
      </c>
      <c r="N15" s="43" t="s">
        <v>15</v>
      </c>
      <c r="O15" s="43" t="s">
        <v>16</v>
      </c>
      <c r="P15" s="44"/>
      <c r="Q15" s="44"/>
      <c r="R15" s="44"/>
      <c r="S15" s="44"/>
      <c r="T15" s="3"/>
      <c r="U15" s="3"/>
    </row>
    <row r="16" spans="1:25" ht="15.6" hidden="1" customHeight="1" x14ac:dyDescent="0.25">
      <c r="A16" s="45">
        <v>2014</v>
      </c>
      <c r="B16" s="46">
        <v>0</v>
      </c>
      <c r="C16" s="47">
        <v>0</v>
      </c>
      <c r="D16" s="48"/>
      <c r="E16" s="48"/>
      <c r="F16" s="48"/>
      <c r="G16" s="48"/>
      <c r="H16" s="3"/>
      <c r="I16" s="17"/>
      <c r="J16" s="18"/>
      <c r="K16" s="38"/>
      <c r="L16" s="39"/>
      <c r="M16" s="47">
        <v>0</v>
      </c>
      <c r="N16" s="47">
        <v>0</v>
      </c>
      <c r="O16" s="47">
        <v>0</v>
      </c>
      <c r="P16" s="48"/>
      <c r="Q16" s="48"/>
      <c r="R16" s="48"/>
      <c r="S16" s="48"/>
      <c r="T16" s="3"/>
      <c r="U16" s="3"/>
    </row>
    <row r="17" spans="1:21" ht="15.75" hidden="1" customHeight="1" x14ac:dyDescent="0.25">
      <c r="A17" s="45">
        <v>2015</v>
      </c>
      <c r="B17" s="46">
        <v>0</v>
      </c>
      <c r="C17" s="47">
        <v>0</v>
      </c>
      <c r="D17" s="48"/>
      <c r="E17" s="48"/>
      <c r="F17" s="48"/>
      <c r="G17" s="48"/>
      <c r="H17" s="3"/>
      <c r="I17" s="17"/>
      <c r="J17" s="18"/>
      <c r="K17" s="38"/>
      <c r="L17" s="39"/>
      <c r="M17" s="47">
        <v>0</v>
      </c>
      <c r="N17" s="47">
        <v>0</v>
      </c>
      <c r="O17" s="47">
        <v>0</v>
      </c>
      <c r="P17" s="48"/>
      <c r="Q17" s="48"/>
      <c r="R17" s="48"/>
      <c r="S17" s="48"/>
      <c r="T17" s="3"/>
      <c r="U17" s="3"/>
    </row>
    <row r="18" spans="1:21" ht="15.75" hidden="1" customHeight="1" x14ac:dyDescent="0.25">
      <c r="A18" s="45">
        <v>2016</v>
      </c>
      <c r="B18" s="46">
        <v>0</v>
      </c>
      <c r="C18" s="47">
        <v>0</v>
      </c>
      <c r="D18" s="48"/>
      <c r="E18" s="48"/>
      <c r="F18" s="48"/>
      <c r="G18" s="48"/>
      <c r="H18" s="3"/>
      <c r="I18" s="17"/>
      <c r="J18" s="18"/>
      <c r="K18" s="38"/>
      <c r="L18" s="39"/>
      <c r="M18" s="47">
        <v>0</v>
      </c>
      <c r="N18" s="47">
        <v>0</v>
      </c>
      <c r="O18" s="47">
        <v>0</v>
      </c>
      <c r="P18" s="48"/>
      <c r="Q18" s="48"/>
      <c r="R18" s="48"/>
      <c r="S18" s="48"/>
      <c r="T18" s="3"/>
      <c r="U18" s="3"/>
    </row>
    <row r="19" spans="1:21" ht="15.75" hidden="1" customHeight="1" x14ac:dyDescent="0.25">
      <c r="A19" s="45">
        <v>2017</v>
      </c>
      <c r="B19" s="46">
        <v>0</v>
      </c>
      <c r="C19" s="47">
        <v>0</v>
      </c>
      <c r="D19" s="48"/>
      <c r="E19" s="48"/>
      <c r="F19" s="48"/>
      <c r="G19" s="48"/>
      <c r="H19" s="3"/>
      <c r="I19" s="17"/>
      <c r="J19" s="18"/>
      <c r="K19" s="38"/>
      <c r="L19" s="39"/>
      <c r="M19" s="47">
        <v>0</v>
      </c>
      <c r="N19" s="47">
        <v>0</v>
      </c>
      <c r="O19" s="47">
        <v>0</v>
      </c>
      <c r="P19" s="48"/>
      <c r="Q19" s="48"/>
      <c r="R19" s="48"/>
      <c r="S19" s="48"/>
      <c r="T19" s="3"/>
      <c r="U19" s="3"/>
    </row>
    <row r="20" spans="1:21" ht="14.45" hidden="1" customHeight="1" x14ac:dyDescent="0.25">
      <c r="A20" s="45">
        <v>2018</v>
      </c>
      <c r="B20" s="46">
        <v>0</v>
      </c>
      <c r="C20" s="47">
        <v>0</v>
      </c>
      <c r="D20" s="48"/>
      <c r="E20" s="48"/>
      <c r="F20" s="48"/>
      <c r="G20" s="48"/>
      <c r="H20" s="3"/>
      <c r="I20" s="17"/>
      <c r="J20" s="18"/>
      <c r="K20" s="38"/>
      <c r="L20" s="39"/>
      <c r="M20" s="47">
        <v>0</v>
      </c>
      <c r="N20" s="47">
        <v>0</v>
      </c>
      <c r="O20" s="47">
        <v>0</v>
      </c>
      <c r="P20" s="48"/>
      <c r="Q20" s="48"/>
      <c r="R20" s="48"/>
      <c r="S20" s="48"/>
      <c r="T20" s="3"/>
      <c r="U20" s="3"/>
    </row>
    <row r="21" spans="1:21" x14ac:dyDescent="0.25">
      <c r="A21" s="45">
        <v>2019</v>
      </c>
      <c r="B21" s="46">
        <v>66130549772</v>
      </c>
      <c r="C21" s="47">
        <v>66130549772</v>
      </c>
      <c r="D21" s="48"/>
      <c r="E21" s="48"/>
      <c r="F21" s="48"/>
      <c r="G21" s="48"/>
      <c r="H21" s="3"/>
      <c r="I21" s="17"/>
      <c r="J21" s="18"/>
      <c r="K21" s="38"/>
      <c r="L21" s="39"/>
      <c r="M21" s="47">
        <v>66130549772</v>
      </c>
      <c r="N21" s="49" t="str">
        <f t="shared" ref="N21:O42" si="0">IF(B21="","",+IF(B21&gt;$M21,"RECHAZADA","OK"))</f>
        <v>OK</v>
      </c>
      <c r="O21" s="49" t="str">
        <f t="shared" si="0"/>
        <v>OK</v>
      </c>
      <c r="P21" s="50"/>
      <c r="Q21" s="50"/>
      <c r="R21" s="50"/>
      <c r="S21" s="50"/>
      <c r="T21" s="3"/>
      <c r="U21" s="3"/>
    </row>
    <row r="22" spans="1:21" x14ac:dyDescent="0.25">
      <c r="A22" s="45">
        <v>2020</v>
      </c>
      <c r="B22" s="46">
        <v>141199409556</v>
      </c>
      <c r="C22" s="47">
        <v>141199409556</v>
      </c>
      <c r="D22" s="48"/>
      <c r="E22" s="48"/>
      <c r="F22" s="48"/>
      <c r="G22" s="48"/>
      <c r="H22" s="3"/>
      <c r="I22" s="17"/>
      <c r="J22" s="18"/>
      <c r="K22" s="38"/>
      <c r="L22" s="39"/>
      <c r="M22" s="47">
        <v>141199409556</v>
      </c>
      <c r="N22" s="49" t="str">
        <f t="shared" si="0"/>
        <v>OK</v>
      </c>
      <c r="O22" s="49" t="str">
        <f t="shared" si="0"/>
        <v>OK</v>
      </c>
      <c r="P22" s="50"/>
      <c r="Q22" s="50"/>
      <c r="R22" s="50"/>
      <c r="S22" s="50"/>
      <c r="T22" s="3"/>
      <c r="U22" s="3"/>
    </row>
    <row r="23" spans="1:21" x14ac:dyDescent="0.25">
      <c r="A23" s="45">
        <v>2021</v>
      </c>
      <c r="B23" s="46">
        <v>141199409556</v>
      </c>
      <c r="C23" s="47">
        <v>141199409556</v>
      </c>
      <c r="D23" s="48"/>
      <c r="E23" s="48"/>
      <c r="F23" s="48"/>
      <c r="G23" s="48"/>
      <c r="H23" s="3"/>
      <c r="I23" s="17"/>
      <c r="J23" s="18"/>
      <c r="K23" s="38"/>
      <c r="L23" s="39"/>
      <c r="M23" s="47">
        <v>141199409556</v>
      </c>
      <c r="N23" s="49" t="str">
        <f t="shared" si="0"/>
        <v>OK</v>
      </c>
      <c r="O23" s="49" t="str">
        <f t="shared" si="0"/>
        <v>OK</v>
      </c>
      <c r="P23" s="50"/>
      <c r="Q23" s="50"/>
      <c r="R23" s="50"/>
      <c r="S23" s="50"/>
      <c r="T23" s="3"/>
      <c r="U23" s="3"/>
    </row>
    <row r="24" spans="1:21" x14ac:dyDescent="0.25">
      <c r="A24" s="45">
        <v>2022</v>
      </c>
      <c r="B24" s="46">
        <v>141199409556</v>
      </c>
      <c r="C24" s="47">
        <v>141199409556</v>
      </c>
      <c r="D24" s="48"/>
      <c r="E24" s="48"/>
      <c r="F24" s="48"/>
      <c r="G24" s="48"/>
      <c r="H24" s="3"/>
      <c r="I24" s="17"/>
      <c r="J24" s="18"/>
      <c r="K24" s="38"/>
      <c r="L24" s="39"/>
      <c r="M24" s="47">
        <v>141199409556</v>
      </c>
      <c r="N24" s="49" t="str">
        <f t="shared" si="0"/>
        <v>OK</v>
      </c>
      <c r="O24" s="49" t="str">
        <f t="shared" si="0"/>
        <v>OK</v>
      </c>
      <c r="P24" s="50"/>
      <c r="Q24" s="50"/>
      <c r="R24" s="50"/>
      <c r="S24" s="50"/>
      <c r="T24" s="3"/>
      <c r="U24" s="3"/>
    </row>
    <row r="25" spans="1:21" x14ac:dyDescent="0.25">
      <c r="A25" s="45">
        <v>2023</v>
      </c>
      <c r="B25" s="46">
        <v>141199409556</v>
      </c>
      <c r="C25" s="47">
        <v>141199409556</v>
      </c>
      <c r="D25" s="48"/>
      <c r="E25" s="48"/>
      <c r="F25" s="48"/>
      <c r="G25" s="48"/>
      <c r="H25" s="3"/>
      <c r="I25" s="17"/>
      <c r="J25" s="18"/>
      <c r="K25" s="38"/>
      <c r="L25" s="39"/>
      <c r="M25" s="47">
        <v>141199409556</v>
      </c>
      <c r="N25" s="49" t="str">
        <f t="shared" si="0"/>
        <v>OK</v>
      </c>
      <c r="O25" s="49" t="str">
        <f t="shared" si="0"/>
        <v>OK</v>
      </c>
      <c r="P25" s="50"/>
      <c r="Q25" s="50"/>
      <c r="R25" s="50"/>
      <c r="S25" s="50"/>
      <c r="T25" s="3"/>
      <c r="U25" s="3"/>
    </row>
    <row r="26" spans="1:21" x14ac:dyDescent="0.25">
      <c r="A26" s="45">
        <v>2024</v>
      </c>
      <c r="B26" s="46">
        <v>141199409556</v>
      </c>
      <c r="C26" s="47">
        <v>141199409556</v>
      </c>
      <c r="D26" s="48"/>
      <c r="E26" s="48"/>
      <c r="F26" s="48"/>
      <c r="G26" s="48"/>
      <c r="H26" s="3"/>
      <c r="I26" s="17"/>
      <c r="J26" s="18"/>
      <c r="K26" s="38"/>
      <c r="L26" s="39"/>
      <c r="M26" s="47">
        <v>141199409556</v>
      </c>
      <c r="N26" s="49" t="str">
        <f t="shared" si="0"/>
        <v>OK</v>
      </c>
      <c r="O26" s="49" t="str">
        <f t="shared" si="0"/>
        <v>OK</v>
      </c>
      <c r="P26" s="50"/>
      <c r="Q26" s="50"/>
      <c r="R26" s="50"/>
      <c r="S26" s="50"/>
      <c r="T26" s="3"/>
      <c r="U26" s="3"/>
    </row>
    <row r="27" spans="1:21" x14ac:dyDescent="0.25">
      <c r="A27" s="45">
        <v>2025</v>
      </c>
      <c r="B27" s="46">
        <v>141199409556</v>
      </c>
      <c r="C27" s="47">
        <v>141199409556</v>
      </c>
      <c r="D27" s="48"/>
      <c r="E27" s="48"/>
      <c r="F27" s="48"/>
      <c r="G27" s="48"/>
      <c r="H27" s="3"/>
      <c r="I27" s="17"/>
      <c r="J27" s="18"/>
      <c r="K27" s="38"/>
      <c r="L27" s="39"/>
      <c r="M27" s="47">
        <v>141199409556</v>
      </c>
      <c r="N27" s="49" t="str">
        <f t="shared" si="0"/>
        <v>OK</v>
      </c>
      <c r="O27" s="49" t="str">
        <f t="shared" si="0"/>
        <v>OK</v>
      </c>
      <c r="P27" s="50"/>
      <c r="Q27" s="50"/>
      <c r="R27" s="50"/>
      <c r="S27" s="50"/>
      <c r="T27" s="3"/>
      <c r="U27" s="3"/>
    </row>
    <row r="28" spans="1:21" x14ac:dyDescent="0.25">
      <c r="A28" s="45">
        <v>2026</v>
      </c>
      <c r="B28" s="46">
        <v>141199409556</v>
      </c>
      <c r="C28" s="47">
        <v>141199409556</v>
      </c>
      <c r="D28" s="48"/>
      <c r="E28" s="48"/>
      <c r="F28" s="48"/>
      <c r="G28" s="48"/>
      <c r="H28" s="3"/>
      <c r="I28" s="17"/>
      <c r="J28" s="18"/>
      <c r="K28" s="38"/>
      <c r="L28" s="39"/>
      <c r="M28" s="47">
        <v>141199409556</v>
      </c>
      <c r="N28" s="49" t="str">
        <f t="shared" si="0"/>
        <v>OK</v>
      </c>
      <c r="O28" s="49" t="str">
        <f t="shared" si="0"/>
        <v>OK</v>
      </c>
      <c r="P28" s="50"/>
      <c r="Q28" s="50"/>
      <c r="R28" s="50"/>
      <c r="S28" s="50"/>
      <c r="T28" s="3"/>
      <c r="U28" s="3"/>
    </row>
    <row r="29" spans="1:21" x14ac:dyDescent="0.25">
      <c r="A29" s="45">
        <v>2027</v>
      </c>
      <c r="B29" s="46">
        <v>141199409556</v>
      </c>
      <c r="C29" s="47">
        <v>141199409556</v>
      </c>
      <c r="D29" s="48"/>
      <c r="E29" s="48"/>
      <c r="F29" s="48"/>
      <c r="G29" s="48"/>
      <c r="H29" s="3"/>
      <c r="I29" s="17"/>
      <c r="J29" s="18"/>
      <c r="K29" s="38"/>
      <c r="L29" s="39"/>
      <c r="M29" s="47">
        <v>141199409556</v>
      </c>
      <c r="N29" s="49" t="str">
        <f t="shared" si="0"/>
        <v>OK</v>
      </c>
      <c r="O29" s="49" t="str">
        <f t="shared" si="0"/>
        <v>OK</v>
      </c>
      <c r="P29" s="50"/>
      <c r="Q29" s="50"/>
      <c r="R29" s="50"/>
      <c r="S29" s="50"/>
      <c r="T29" s="3"/>
      <c r="U29" s="3"/>
    </row>
    <row r="30" spans="1:21" x14ac:dyDescent="0.25">
      <c r="A30" s="45">
        <v>2028</v>
      </c>
      <c r="B30" s="46">
        <v>141199409556</v>
      </c>
      <c r="C30" s="47">
        <v>141199409556</v>
      </c>
      <c r="D30" s="48"/>
      <c r="E30" s="48"/>
      <c r="F30" s="48"/>
      <c r="G30" s="48"/>
      <c r="H30" s="3"/>
      <c r="I30" s="17"/>
      <c r="J30" s="18"/>
      <c r="K30" s="38"/>
      <c r="L30" s="39"/>
      <c r="M30" s="47">
        <v>141199409556</v>
      </c>
      <c r="N30" s="49" t="str">
        <f t="shared" si="0"/>
        <v>OK</v>
      </c>
      <c r="O30" s="49" t="str">
        <f t="shared" si="0"/>
        <v>OK</v>
      </c>
      <c r="P30" s="50"/>
      <c r="Q30" s="50"/>
      <c r="R30" s="50"/>
      <c r="S30" s="50"/>
      <c r="T30" s="3"/>
      <c r="U30" s="3"/>
    </row>
    <row r="31" spans="1:21" x14ac:dyDescent="0.25">
      <c r="A31" s="45">
        <v>2029</v>
      </c>
      <c r="B31" s="46">
        <v>141199409556</v>
      </c>
      <c r="C31" s="47">
        <v>141199409556</v>
      </c>
      <c r="D31" s="48"/>
      <c r="E31" s="48"/>
      <c r="F31" s="48"/>
      <c r="G31" s="48"/>
      <c r="H31" s="3"/>
      <c r="I31" s="17"/>
      <c r="J31" s="18"/>
      <c r="K31" s="38"/>
      <c r="L31" s="39"/>
      <c r="M31" s="47">
        <v>141199409556</v>
      </c>
      <c r="N31" s="49" t="str">
        <f t="shared" si="0"/>
        <v>OK</v>
      </c>
      <c r="O31" s="49" t="str">
        <f t="shared" si="0"/>
        <v>OK</v>
      </c>
      <c r="P31" s="50"/>
      <c r="Q31" s="50"/>
      <c r="R31" s="50"/>
      <c r="S31" s="50"/>
      <c r="T31" s="3"/>
      <c r="U31" s="3"/>
    </row>
    <row r="32" spans="1:21" x14ac:dyDescent="0.25">
      <c r="A32" s="45">
        <v>2030</v>
      </c>
      <c r="B32" s="46">
        <v>141199409556</v>
      </c>
      <c r="C32" s="47">
        <v>141199409556</v>
      </c>
      <c r="D32" s="48"/>
      <c r="E32" s="48"/>
      <c r="F32" s="48"/>
      <c r="G32" s="48"/>
      <c r="H32" s="3"/>
      <c r="I32" s="17"/>
      <c r="J32" s="18"/>
      <c r="K32" s="38"/>
      <c r="L32" s="39"/>
      <c r="M32" s="47">
        <v>141199409556</v>
      </c>
      <c r="N32" s="49" t="str">
        <f t="shared" si="0"/>
        <v>OK</v>
      </c>
      <c r="O32" s="49" t="str">
        <f t="shared" si="0"/>
        <v>OK</v>
      </c>
      <c r="P32" s="50"/>
      <c r="Q32" s="50"/>
      <c r="R32" s="50"/>
      <c r="S32" s="50"/>
      <c r="T32" s="3"/>
      <c r="U32" s="3"/>
    </row>
    <row r="33" spans="1:21" x14ac:dyDescent="0.25">
      <c r="A33" s="45">
        <v>2031</v>
      </c>
      <c r="B33" s="46">
        <v>141199409556</v>
      </c>
      <c r="C33" s="47">
        <v>141199409556</v>
      </c>
      <c r="D33" s="48"/>
      <c r="E33" s="48"/>
      <c r="F33" s="48"/>
      <c r="G33" s="48"/>
      <c r="H33" s="3"/>
      <c r="I33" s="17"/>
      <c r="J33" s="18"/>
      <c r="K33" s="38"/>
      <c r="L33" s="39"/>
      <c r="M33" s="47">
        <v>141199409556</v>
      </c>
      <c r="N33" s="49" t="str">
        <f t="shared" si="0"/>
        <v>OK</v>
      </c>
      <c r="O33" s="49" t="str">
        <f t="shared" si="0"/>
        <v>OK</v>
      </c>
      <c r="P33" s="50"/>
      <c r="Q33" s="50"/>
      <c r="R33" s="50"/>
      <c r="S33" s="50"/>
      <c r="T33" s="3"/>
      <c r="U33" s="3"/>
    </row>
    <row r="34" spans="1:21" x14ac:dyDescent="0.25">
      <c r="A34" s="45">
        <v>2032</v>
      </c>
      <c r="B34" s="46">
        <v>141199409556</v>
      </c>
      <c r="C34" s="47">
        <v>141199409556</v>
      </c>
      <c r="D34" s="48"/>
      <c r="E34" s="48"/>
      <c r="F34" s="48"/>
      <c r="G34" s="48"/>
      <c r="H34" s="3"/>
      <c r="I34" s="17"/>
      <c r="J34" s="18"/>
      <c r="K34" s="38"/>
      <c r="L34" s="39"/>
      <c r="M34" s="47">
        <v>141199409556</v>
      </c>
      <c r="N34" s="49" t="str">
        <f t="shared" si="0"/>
        <v>OK</v>
      </c>
      <c r="O34" s="49" t="str">
        <f t="shared" si="0"/>
        <v>OK</v>
      </c>
      <c r="P34" s="50"/>
      <c r="Q34" s="50"/>
      <c r="R34" s="50"/>
      <c r="S34" s="50"/>
      <c r="T34" s="3"/>
      <c r="U34" s="3"/>
    </row>
    <row r="35" spans="1:21" x14ac:dyDescent="0.25">
      <c r="A35" s="45">
        <v>2033</v>
      </c>
      <c r="B35" s="46">
        <v>141199409556</v>
      </c>
      <c r="C35" s="47">
        <v>141199409556</v>
      </c>
      <c r="D35" s="48"/>
      <c r="E35" s="48"/>
      <c r="F35" s="48"/>
      <c r="G35" s="48"/>
      <c r="H35" s="3"/>
      <c r="I35" s="17"/>
      <c r="J35" s="18"/>
      <c r="K35" s="38"/>
      <c r="L35" s="39"/>
      <c r="M35" s="47">
        <v>141199409556</v>
      </c>
      <c r="N35" s="49" t="str">
        <f t="shared" si="0"/>
        <v>OK</v>
      </c>
      <c r="O35" s="49" t="str">
        <f t="shared" si="0"/>
        <v>OK</v>
      </c>
      <c r="P35" s="50"/>
      <c r="Q35" s="50"/>
      <c r="R35" s="50"/>
      <c r="S35" s="50"/>
      <c r="T35" s="3"/>
      <c r="U35" s="3"/>
    </row>
    <row r="36" spans="1:21" x14ac:dyDescent="0.25">
      <c r="A36" s="45">
        <v>2034</v>
      </c>
      <c r="B36" s="46">
        <v>141199409556</v>
      </c>
      <c r="C36" s="47">
        <v>141199409556</v>
      </c>
      <c r="D36" s="48"/>
      <c r="E36" s="48"/>
      <c r="F36" s="48"/>
      <c r="G36" s="48"/>
      <c r="H36" s="3"/>
      <c r="I36" s="17"/>
      <c r="J36" s="18"/>
      <c r="K36" s="38"/>
      <c r="L36" s="39"/>
      <c r="M36" s="47">
        <v>141199409556</v>
      </c>
      <c r="N36" s="49" t="str">
        <f t="shared" si="0"/>
        <v>OK</v>
      </c>
      <c r="O36" s="49" t="str">
        <f t="shared" si="0"/>
        <v>OK</v>
      </c>
      <c r="P36" s="50"/>
      <c r="Q36" s="50"/>
      <c r="R36" s="50"/>
      <c r="S36" s="50"/>
      <c r="T36" s="3"/>
      <c r="U36" s="3"/>
    </row>
    <row r="37" spans="1:21" x14ac:dyDescent="0.25">
      <c r="A37" s="45">
        <v>2035</v>
      </c>
      <c r="B37" s="46">
        <v>65014530200</v>
      </c>
      <c r="C37" s="47">
        <v>141199409556</v>
      </c>
      <c r="D37" s="48"/>
      <c r="E37" s="48"/>
      <c r="F37" s="48"/>
      <c r="G37" s="48"/>
      <c r="H37" s="3"/>
      <c r="I37" s="17"/>
      <c r="J37" s="18"/>
      <c r="K37" s="38"/>
      <c r="L37" s="39"/>
      <c r="M37" s="47">
        <v>141199409556</v>
      </c>
      <c r="N37" s="49" t="str">
        <f t="shared" si="0"/>
        <v>OK</v>
      </c>
      <c r="O37" s="49" t="str">
        <f t="shared" si="0"/>
        <v>OK</v>
      </c>
      <c r="P37" s="50"/>
      <c r="Q37" s="50"/>
      <c r="R37" s="50"/>
      <c r="S37" s="50"/>
      <c r="T37" s="3"/>
      <c r="U37" s="3"/>
    </row>
    <row r="38" spans="1:21" x14ac:dyDescent="0.25">
      <c r="A38" s="45">
        <v>2036</v>
      </c>
      <c r="B38" s="46">
        <v>0</v>
      </c>
      <c r="C38" s="47">
        <v>141199409556</v>
      </c>
      <c r="D38" s="48"/>
      <c r="E38" s="48"/>
      <c r="F38" s="48"/>
      <c r="G38" s="48"/>
      <c r="H38" s="3"/>
      <c r="I38" s="17"/>
      <c r="J38" s="18"/>
      <c r="K38" s="38"/>
      <c r="L38" s="39"/>
      <c r="M38" s="47">
        <v>141199409556</v>
      </c>
      <c r="N38" s="49" t="str">
        <f t="shared" si="0"/>
        <v>OK</v>
      </c>
      <c r="O38" s="49" t="str">
        <f t="shared" si="0"/>
        <v>OK</v>
      </c>
      <c r="P38" s="50"/>
      <c r="Q38" s="50"/>
      <c r="R38" s="50"/>
      <c r="S38" s="50"/>
      <c r="T38" s="3"/>
      <c r="U38" s="3"/>
    </row>
    <row r="39" spans="1:21" x14ac:dyDescent="0.25">
      <c r="A39" s="45">
        <v>2037</v>
      </c>
      <c r="B39" s="46">
        <v>0</v>
      </c>
      <c r="C39" s="47">
        <v>141199409556</v>
      </c>
      <c r="D39" s="48"/>
      <c r="E39" s="48"/>
      <c r="F39" s="48"/>
      <c r="G39" s="48"/>
      <c r="H39" s="3"/>
      <c r="I39" s="17"/>
      <c r="J39" s="18"/>
      <c r="K39" s="38"/>
      <c r="L39" s="39"/>
      <c r="M39" s="47">
        <v>141199409556</v>
      </c>
      <c r="N39" s="49" t="str">
        <f t="shared" si="0"/>
        <v>OK</v>
      </c>
      <c r="O39" s="49" t="str">
        <f t="shared" si="0"/>
        <v>OK</v>
      </c>
      <c r="P39" s="50"/>
      <c r="Q39" s="50"/>
      <c r="R39" s="50"/>
      <c r="S39" s="50"/>
      <c r="T39" s="3"/>
      <c r="U39" s="3"/>
    </row>
    <row r="40" spans="1:21" x14ac:dyDescent="0.25">
      <c r="A40" s="45">
        <v>2038</v>
      </c>
      <c r="B40" s="46">
        <v>0</v>
      </c>
      <c r="C40" s="47">
        <v>134139439078</v>
      </c>
      <c r="D40" s="48"/>
      <c r="E40" s="48"/>
      <c r="F40" s="48"/>
      <c r="G40" s="48"/>
      <c r="H40" s="3"/>
      <c r="I40" s="17"/>
      <c r="J40" s="18"/>
      <c r="K40" s="38"/>
      <c r="L40" s="39"/>
      <c r="M40" s="47">
        <v>141199409556</v>
      </c>
      <c r="N40" s="49" t="str">
        <f t="shared" si="0"/>
        <v>OK</v>
      </c>
      <c r="O40" s="49" t="str">
        <f t="shared" si="0"/>
        <v>OK</v>
      </c>
      <c r="P40" s="50"/>
      <c r="Q40" s="50"/>
      <c r="R40" s="50"/>
      <c r="S40" s="50"/>
      <c r="T40" s="3"/>
      <c r="U40" s="3"/>
    </row>
    <row r="41" spans="1:21" x14ac:dyDescent="0.25">
      <c r="A41" s="45">
        <v>2039</v>
      </c>
      <c r="B41" s="46">
        <v>0</v>
      </c>
      <c r="C41" s="47">
        <v>134139439078</v>
      </c>
      <c r="D41" s="48"/>
      <c r="E41" s="48"/>
      <c r="F41" s="48"/>
      <c r="G41" s="48"/>
      <c r="H41" s="3"/>
      <c r="I41" s="17"/>
      <c r="J41" s="18"/>
      <c r="K41" s="38"/>
      <c r="L41" s="39"/>
      <c r="M41" s="47">
        <v>141199409556</v>
      </c>
      <c r="N41" s="49" t="str">
        <f t="shared" si="0"/>
        <v>OK</v>
      </c>
      <c r="O41" s="49" t="str">
        <f t="shared" si="0"/>
        <v>OK</v>
      </c>
      <c r="P41" s="50"/>
      <c r="Q41" s="50"/>
      <c r="R41" s="50"/>
      <c r="S41" s="50"/>
      <c r="T41" s="3"/>
      <c r="U41" s="3"/>
    </row>
    <row r="42" spans="1:21" x14ac:dyDescent="0.25">
      <c r="A42" s="45">
        <v>2040</v>
      </c>
      <c r="B42" s="46">
        <v>0</v>
      </c>
      <c r="C42" s="47">
        <v>56479763822</v>
      </c>
      <c r="D42" s="48"/>
      <c r="E42" s="48"/>
      <c r="F42" s="48"/>
      <c r="G42" s="48"/>
      <c r="H42" s="3"/>
      <c r="I42" s="17"/>
      <c r="J42" s="18"/>
      <c r="K42" s="38"/>
      <c r="L42" s="39"/>
      <c r="M42" s="47">
        <v>70599704778</v>
      </c>
      <c r="N42" s="49" t="str">
        <f t="shared" si="0"/>
        <v>OK</v>
      </c>
      <c r="O42" s="49" t="str">
        <f t="shared" si="0"/>
        <v>OK</v>
      </c>
      <c r="P42" s="50"/>
      <c r="Q42" s="50"/>
      <c r="R42" s="50"/>
      <c r="S42" s="50"/>
      <c r="T42" s="3"/>
      <c r="U42" s="3"/>
    </row>
    <row r="43" spans="1:21" x14ac:dyDescent="0.25">
      <c r="A43" s="51" t="s">
        <v>8</v>
      </c>
      <c r="B43" s="46">
        <v>927188682600</v>
      </c>
      <c r="C43" s="52">
        <v>1062118685412</v>
      </c>
      <c r="D43" s="48"/>
      <c r="E43" s="48"/>
      <c r="F43" s="48"/>
      <c r="G43" s="48"/>
      <c r="H43" s="3"/>
      <c r="I43" s="17"/>
      <c r="J43" s="18"/>
      <c r="K43" s="38"/>
      <c r="L43" s="39"/>
      <c r="M43" s="20"/>
      <c r="N43" s="22">
        <f>+COUNTIF(N16:N42,"RECHAZADA")</f>
        <v>0</v>
      </c>
      <c r="O43" s="22">
        <f t="shared" ref="O43:S43" si="1">+COUNTIF(O16:O42,"RECHAZADA")</f>
        <v>0</v>
      </c>
      <c r="P43" s="22">
        <f t="shared" si="1"/>
        <v>0</v>
      </c>
      <c r="Q43" s="22">
        <f t="shared" si="1"/>
        <v>0</v>
      </c>
      <c r="R43" s="22">
        <f t="shared" si="1"/>
        <v>0</v>
      </c>
      <c r="S43" s="22">
        <f t="shared" si="1"/>
        <v>0</v>
      </c>
      <c r="T43" s="53"/>
      <c r="U43" s="3"/>
    </row>
    <row r="44" spans="1:21" x14ac:dyDescent="0.25">
      <c r="I44" s="55"/>
      <c r="J44" s="56"/>
      <c r="K44" s="57"/>
      <c r="L44" s="58"/>
      <c r="M44" s="59"/>
      <c r="N44" s="60"/>
      <c r="O44" s="31"/>
      <c r="P44" s="31"/>
      <c r="Q44" s="31"/>
      <c r="R44" s="31"/>
      <c r="S44" s="35"/>
    </row>
    <row r="45" spans="1:21" hidden="1" x14ac:dyDescent="0.25">
      <c r="E45" s="61"/>
      <c r="F45" s="61"/>
      <c r="G45" s="61"/>
      <c r="H45" s="61"/>
      <c r="I45" s="55"/>
      <c r="J45" s="126">
        <v>1</v>
      </c>
      <c r="K45" s="126"/>
      <c r="L45" s="55"/>
      <c r="M45" s="55"/>
      <c r="N45" s="55"/>
    </row>
    <row r="46" spans="1:21" hidden="1" x14ac:dyDescent="0.25">
      <c r="A46" s="62"/>
      <c r="B46" s="63"/>
      <c r="C46" s="48"/>
      <c r="D46" s="48"/>
      <c r="E46" s="48"/>
      <c r="F46" s="48"/>
      <c r="G46" s="48"/>
      <c r="H46" s="48"/>
      <c r="I46" s="55"/>
      <c r="J46" s="64"/>
      <c r="K46" s="64"/>
      <c r="L46" s="64"/>
      <c r="M46" s="64"/>
      <c r="N46" s="55"/>
    </row>
    <row r="47" spans="1:21" ht="55.5" hidden="1" customHeight="1" x14ac:dyDescent="0.25">
      <c r="A47" s="11" t="s">
        <v>17</v>
      </c>
      <c r="B47" s="65" t="s">
        <v>18</v>
      </c>
      <c r="C47" s="11" t="s">
        <v>19</v>
      </c>
      <c r="D47" s="66"/>
      <c r="E47" s="66"/>
      <c r="F47" s="66"/>
      <c r="G47" s="66"/>
      <c r="H47" s="66"/>
      <c r="I47" s="15"/>
      <c r="J47" s="67" t="s">
        <v>20</v>
      </c>
      <c r="K47" s="68" t="s">
        <v>21</v>
      </c>
      <c r="L47" s="67" t="s">
        <v>20</v>
      </c>
      <c r="M47" s="69" t="s">
        <v>21</v>
      </c>
      <c r="N47" s="11" t="s">
        <v>22</v>
      </c>
    </row>
    <row r="48" spans="1:21" ht="63" hidden="1" customHeight="1" x14ac:dyDescent="0.25">
      <c r="A48" s="70">
        <v>1</v>
      </c>
      <c r="B48" s="71" t="str">
        <f>+B15</f>
        <v xml:space="preserve">1.  HIDALGO E HIDALGO S.A SUCURSAL COLOMBIA. - HIDALGO E HIDALGO COLOMBIA S.A.S. - CASS CONSTRUCTORES &amp;
CIA S.C.A. - CARLOS ALBERTO SOLARTE SOLARTE.
</v>
      </c>
      <c r="C48" s="72">
        <f>+IF(N43=0,IF(B12&gt;B9,"RECHAZADA",B12),"RECHAZADA")</f>
        <v>927188682600</v>
      </c>
      <c r="D48" s="61"/>
      <c r="E48" s="73"/>
      <c r="F48" s="73"/>
      <c r="G48" s="73"/>
      <c r="H48" s="73"/>
      <c r="I48" s="15"/>
      <c r="J48" s="74">
        <f>IF([1]Math!F32="rechazada","rechazada",IF(([1]Math!F32&lt;&gt;""),ROUNDDOWN(+[1]Math!F32,0),""))</f>
        <v>700</v>
      </c>
      <c r="K48" s="75">
        <f t="shared" ref="K48:K57" si="2">IF(J48="rechazada","nd",+C48/B$9)</f>
        <v>0.86894044614571675</v>
      </c>
      <c r="L48" s="74">
        <f>IF([1]Math!G32="rechazada","rechazada",IF(([1]Math!G32&lt;&gt;""),ROUNDDOWN(+[1]Math!G32,0),""))</f>
        <v>700</v>
      </c>
      <c r="M48" s="76">
        <f t="shared" ref="M48:M57" si="3">IF(L48="rechazada","nd",+C48/B$9)</f>
        <v>0.86894044614571675</v>
      </c>
      <c r="N48" s="77" t="str">
        <f>+IF(ROUND(B43,0)=C48,"Ok","NO")</f>
        <v>Ok</v>
      </c>
    </row>
    <row r="49" spans="1:21" ht="72.75" hidden="1" customHeight="1" x14ac:dyDescent="0.25">
      <c r="A49" s="70">
        <v>2</v>
      </c>
      <c r="B49" s="71" t="str">
        <f>+C15</f>
        <v xml:space="preserve">2.KMA CONSTRUCCIONES S.A.- ORTIZ CONSTRUCCIONES Y PROYECTOS S.A.- EQUIPO UNIVERSAL S.A.- OBRESCA S.A.S. </v>
      </c>
      <c r="C49" s="72">
        <f>+IF(O43=0,IF(C12&gt;B9,"RECHAZADA",C12),"RECHAZADA")</f>
        <v>1062118685412.0001</v>
      </c>
      <c r="D49" s="73"/>
      <c r="E49" s="73"/>
      <c r="F49" s="73"/>
      <c r="G49" s="73"/>
      <c r="H49" s="73"/>
      <c r="I49" s="15"/>
      <c r="J49" s="78">
        <f>IF([1]Math!F33="rechazada","rechazada",IF(([1]Math!F33&lt;&gt;""),ROUNDDOWN(+[1]Math!F33,0),""))</f>
        <v>611</v>
      </c>
      <c r="K49" s="79">
        <f t="shared" si="2"/>
        <v>0.99539381970623464</v>
      </c>
      <c r="L49" s="78">
        <f>IF([1]Math!G33="rechazada","rechazada",IF(([1]Math!G33&lt;&gt;""),ROUNDDOWN(+[1]Math!G33,0),""))</f>
        <v>611</v>
      </c>
      <c r="M49" s="76">
        <f t="shared" si="3"/>
        <v>0.99539381970623464</v>
      </c>
      <c r="N49" s="77" t="str">
        <f>+IF(ROUND(C43,0)=C49,"Ok","NO")</f>
        <v>Ok</v>
      </c>
    </row>
    <row r="50" spans="1:21" ht="53.25" hidden="1" customHeight="1" x14ac:dyDescent="0.25">
      <c r="A50" s="80"/>
      <c r="B50" s="71"/>
      <c r="C50" s="72"/>
      <c r="D50" s="61"/>
      <c r="E50" s="73"/>
      <c r="F50" s="73"/>
      <c r="G50" s="73"/>
      <c r="H50" s="73"/>
      <c r="I50" s="15"/>
      <c r="J50" s="78"/>
      <c r="K50" s="79"/>
      <c r="L50" s="78"/>
      <c r="M50" s="76"/>
      <c r="N50" s="77"/>
      <c r="P50" s="81"/>
    </row>
    <row r="51" spans="1:21" ht="93.75" hidden="1" customHeight="1" x14ac:dyDescent="0.25">
      <c r="A51" s="80"/>
      <c r="B51" s="71"/>
      <c r="C51" s="72"/>
      <c r="D51" s="61"/>
      <c r="E51" s="73"/>
      <c r="F51" s="73"/>
      <c r="G51" s="73"/>
      <c r="H51" s="73"/>
      <c r="I51" s="15"/>
      <c r="J51" s="78"/>
      <c r="K51" s="79"/>
      <c r="L51" s="78"/>
      <c r="M51" s="76"/>
      <c r="N51" s="77"/>
      <c r="O51" s="55"/>
      <c r="P51" s="81"/>
    </row>
    <row r="52" spans="1:21" ht="39.6" hidden="1" customHeight="1" x14ac:dyDescent="0.25">
      <c r="A52" s="80"/>
      <c r="B52" s="71"/>
      <c r="C52" s="72"/>
      <c r="D52" s="82"/>
      <c r="E52" s="82"/>
      <c r="F52" s="82"/>
      <c r="G52" s="82"/>
      <c r="H52" s="82"/>
      <c r="I52" s="15"/>
      <c r="J52" s="83"/>
      <c r="K52" s="84"/>
      <c r="L52" s="83"/>
      <c r="M52" s="76"/>
      <c r="N52" s="77"/>
      <c r="O52" s="85"/>
    </row>
    <row r="53" spans="1:21" ht="39.6" hidden="1" customHeight="1" x14ac:dyDescent="0.25">
      <c r="A53" s="80"/>
      <c r="B53" s="71"/>
      <c r="C53" s="72"/>
      <c r="D53" s="82"/>
      <c r="E53" s="82"/>
      <c r="F53" s="82"/>
      <c r="G53" s="82"/>
      <c r="H53" s="82"/>
      <c r="I53" s="15"/>
      <c r="J53" s="83"/>
      <c r="K53" s="84"/>
      <c r="L53" s="83"/>
      <c r="M53" s="76"/>
      <c r="N53" s="77"/>
      <c r="O53" s="85"/>
    </row>
    <row r="54" spans="1:21" ht="39.6" hidden="1" customHeight="1" x14ac:dyDescent="0.25">
      <c r="A54" s="80"/>
      <c r="B54" s="71"/>
      <c r="C54" s="72"/>
      <c r="D54" s="82"/>
      <c r="E54" s="82"/>
      <c r="F54" s="82"/>
      <c r="G54" s="82"/>
      <c r="H54" s="82"/>
      <c r="I54" s="15"/>
      <c r="J54" s="83"/>
      <c r="K54" s="84"/>
      <c r="L54" s="83"/>
      <c r="M54" s="84"/>
      <c r="N54" s="77"/>
      <c r="O54" s="85"/>
    </row>
    <row r="55" spans="1:21" hidden="1" x14ac:dyDescent="0.25">
      <c r="A55" s="45"/>
      <c r="B55" s="86"/>
      <c r="C55" s="87"/>
      <c r="D55" s="82"/>
      <c r="E55" s="82"/>
      <c r="F55" s="82"/>
      <c r="G55" s="82"/>
      <c r="H55" s="82"/>
      <c r="I55" s="15"/>
      <c r="J55" s="83" t="str">
        <f>IF([1]Math!F39="rechazada","rechazada",IF(([1]Math!F39&lt;&gt;""),ROUNDDOWN(+[1]Math!F39,0),""))</f>
        <v/>
      </c>
      <c r="K55" s="84">
        <f t="shared" si="2"/>
        <v>0</v>
      </c>
      <c r="L55" s="83" t="str">
        <f>IF([1]Math!G39="rechazada","rechazada",IF(([1]Math!G39&lt;&gt;""),ROUNDDOWN(+[1]Math!G39,0),""))</f>
        <v/>
      </c>
      <c r="M55" s="84">
        <f t="shared" si="3"/>
        <v>0</v>
      </c>
      <c r="N55" s="88" t="str">
        <f>IF([1]Math!H39="rechazada","rechazada",IF(([1]Math!H39&lt;&gt;""),ROUNDDOWN(+[1]Math!H39,0),""))</f>
        <v/>
      </c>
      <c r="O55" s="85"/>
    </row>
    <row r="56" spans="1:21" hidden="1" x14ac:dyDescent="0.25">
      <c r="A56" s="45"/>
      <c r="B56" s="86"/>
      <c r="C56" s="87"/>
      <c r="D56" s="82"/>
      <c r="E56" s="82"/>
      <c r="F56" s="82"/>
      <c r="G56" s="82"/>
      <c r="H56" s="82"/>
      <c r="I56" s="15"/>
      <c r="J56" s="83" t="str">
        <f>IF([1]Math!F40="rechazada","rechazada",IF(([1]Math!F40&lt;&gt;""),ROUNDDOWN(+[1]Math!F40,0),""))</f>
        <v/>
      </c>
      <c r="K56" s="84">
        <f t="shared" si="2"/>
        <v>0</v>
      </c>
      <c r="L56" s="83" t="str">
        <f>IF([1]Math!G40="rechazada","rechazada",IF(([1]Math!G40&lt;&gt;""),ROUNDDOWN(+[1]Math!G40,0),""))</f>
        <v/>
      </c>
      <c r="M56" s="84">
        <f t="shared" si="3"/>
        <v>0</v>
      </c>
      <c r="N56" s="88" t="str">
        <f>IF([1]Math!H40="rechazada","rechazada",IF(([1]Math!H40&lt;&gt;""),ROUNDDOWN(+[1]Math!H40,0),""))</f>
        <v/>
      </c>
      <c r="O56" s="85"/>
    </row>
    <row r="57" spans="1:21" s="15" customFormat="1" ht="18" hidden="1" customHeight="1" x14ac:dyDescent="0.25">
      <c r="A57" s="45"/>
      <c r="B57" s="86"/>
      <c r="C57" s="87"/>
      <c r="D57" s="82"/>
      <c r="E57" s="82"/>
      <c r="F57" s="82"/>
      <c r="G57" s="82"/>
      <c r="H57" s="82"/>
      <c r="J57" s="89" t="str">
        <f>IF([1]Math!F41="rechazada","rechazada",IF(([1]Math!F41&lt;&gt;""),ROUNDDOWN(+[1]Math!F41,0),""))</f>
        <v/>
      </c>
      <c r="K57" s="90">
        <f t="shared" si="2"/>
        <v>0</v>
      </c>
      <c r="L57" s="89" t="str">
        <f>IF([1]Math!G41="rechazada","rechazada",IF(([1]Math!G41&lt;&gt;""),ROUNDDOWN(+[1]Math!G41,0),""))</f>
        <v/>
      </c>
      <c r="M57" s="90">
        <f t="shared" si="3"/>
        <v>0</v>
      </c>
      <c r="N57" s="91" t="str">
        <f>IF([1]Math!H41="rechazada","rechazada",IF(([1]Math!H41&lt;&gt;""),ROUNDDOWN(+[1]Math!H41,0),""))</f>
        <v/>
      </c>
      <c r="O57" s="85"/>
      <c r="S57" s="14"/>
      <c r="T57" s="14"/>
      <c r="U57" s="14"/>
    </row>
    <row r="58" spans="1:21" s="15" customFormat="1" ht="21" hidden="1" x14ac:dyDescent="0.25">
      <c r="A58" s="92" t="s">
        <v>23</v>
      </c>
      <c r="B58" s="93"/>
      <c r="C58" s="94">
        <f>+COUNT(C48:C57)</f>
        <v>2</v>
      </c>
      <c r="D58" s="95"/>
      <c r="E58" s="95"/>
      <c r="F58" s="95"/>
      <c r="G58" s="95"/>
      <c r="H58" s="95"/>
      <c r="N58" s="63"/>
      <c r="O58" s="63"/>
      <c r="S58" s="14"/>
      <c r="T58" s="14"/>
      <c r="U58" s="14"/>
    </row>
    <row r="59" spans="1:21" s="15" customFormat="1" hidden="1" x14ac:dyDescent="0.25">
      <c r="A59" s="96"/>
      <c r="C59" s="96"/>
      <c r="D59" s="96"/>
      <c r="E59" s="96"/>
      <c r="F59" s="96"/>
      <c r="G59" s="96"/>
      <c r="H59" s="96"/>
      <c r="O59" s="63"/>
      <c r="S59" s="14"/>
      <c r="T59" s="14"/>
      <c r="U59" s="14"/>
    </row>
    <row r="60" spans="1:21" hidden="1" x14ac:dyDescent="0.25"/>
    <row r="61" spans="1:21" hidden="1" x14ac:dyDescent="0.25"/>
    <row r="62" spans="1:21" ht="32.25" hidden="1" customHeight="1" x14ac:dyDescent="0.25">
      <c r="A62" s="116" t="str">
        <f>+IF(F63=B81,[1]Math!E2,IF('[1]Tablero Adjudicación'!F63='[1]Tablero Adjudicación'!B82,[1]Math!E6,[1]Math!E10))</f>
        <v>ppto oficial</v>
      </c>
      <c r="B62" s="116"/>
      <c r="C62" s="97">
        <f>+IF($F$63=$B$81,VLOOKUP(A62,[1]Math!$E$1:$F$5,2,FALSE),IF($F$63=$B$82,VLOOKUP('[1]Tablero Adjudicación'!A62,[1]Math!$E$6:$G$93,3,FALSE),VLOOKUP(A62,[1]Math!$E$10:$H$15,4,FALSE)))</f>
        <v>1067033634713</v>
      </c>
      <c r="D62" s="98"/>
      <c r="E62" s="98"/>
      <c r="F62" s="98"/>
      <c r="G62" s="98"/>
      <c r="H62" s="98"/>
      <c r="I62" s="99"/>
    </row>
    <row r="63" spans="1:21" ht="32.25" hidden="1" customHeight="1" x14ac:dyDescent="0.25">
      <c r="A63" s="116" t="str">
        <f>+IF(F63=B81,[1]Math!E3,IF('[1]Tablero Adjudicación'!F63='[1]Tablero Adjudicación'!B82,[1]Math!E7,""))</f>
        <v/>
      </c>
      <c r="B63" s="116"/>
      <c r="C63" s="97">
        <f>+IF($F$63=$B$81,VLOOKUP(A63,[1]Math!$E$1:$F$5,2,FALSE),IF($F$63=$B$82,VLOOKUP('[1]Tablero Adjudicación'!A63,[1]Math!$E$6:$G$93,3,FALSE),0))</f>
        <v>0</v>
      </c>
      <c r="D63" s="100"/>
      <c r="E63" s="101" t="s">
        <v>24</v>
      </c>
      <c r="F63" s="102" t="s">
        <v>25</v>
      </c>
      <c r="G63" s="98"/>
      <c r="H63" s="98"/>
      <c r="I63" s="99"/>
    </row>
    <row r="64" spans="1:21" ht="32.25" hidden="1" customHeight="1" x14ac:dyDescent="0.25">
      <c r="A64" s="117" t="str">
        <f>+F63</f>
        <v>Media geométrica ajustada</v>
      </c>
      <c r="B64" s="116"/>
      <c r="C64" s="97">
        <f>+IF($F$63=$B$81,VLOOKUP(A64,[1]Math!$E$1:$F$5,2,FALSE),IF($F$63=$B$82,VLOOKUP('[1]Tablero Adjudicación'!A64,[1]Math!$E$6:$G$93,3,FALSE),VLOOKUP(A64,[1]Math!$E$10:$H$15,4,FALSE)))</f>
        <v>1029021259791.6454</v>
      </c>
      <c r="D64" s="98"/>
      <c r="E64" s="98"/>
      <c r="F64" s="98"/>
      <c r="G64" s="98"/>
      <c r="H64" s="98"/>
      <c r="I64" s="99"/>
    </row>
    <row r="65" spans="1:21" ht="21" x14ac:dyDescent="0.25">
      <c r="A65" s="118" t="s">
        <v>26</v>
      </c>
      <c r="B65" s="118"/>
      <c r="C65" s="97">
        <f>+IF(F63=B81,[1]Math!F5,IF('[1]Tablero Adjudicación'!F63='[1]Tablero Adjudicación'!B82,[1]Math!G9,[1]Math!H15))</f>
        <v>926119133812.48083</v>
      </c>
      <c r="D65" s="98"/>
      <c r="E65" s="98"/>
      <c r="F65" s="98"/>
      <c r="G65" s="98"/>
      <c r="H65" s="98"/>
      <c r="I65" s="99"/>
    </row>
    <row r="66" spans="1:21" x14ac:dyDescent="0.25">
      <c r="C66" s="3"/>
      <c r="D66" s="3"/>
      <c r="E66" s="3"/>
      <c r="F66" s="3"/>
      <c r="G66" s="3"/>
      <c r="H66" s="3"/>
    </row>
    <row r="67" spans="1:21" x14ac:dyDescent="0.25">
      <c r="C67" s="3"/>
      <c r="D67" s="3"/>
      <c r="E67" s="3"/>
      <c r="F67" s="3"/>
      <c r="G67" s="3"/>
      <c r="H67" s="3"/>
    </row>
    <row r="68" spans="1:21" x14ac:dyDescent="0.25">
      <c r="C68" s="3"/>
      <c r="D68" s="3"/>
      <c r="E68" s="3"/>
      <c r="F68" s="3"/>
      <c r="G68" s="3"/>
      <c r="H68" s="3"/>
    </row>
    <row r="69" spans="1:21" x14ac:dyDescent="0.25">
      <c r="C69" s="3"/>
      <c r="D69" s="3"/>
      <c r="E69" s="3"/>
      <c r="F69" s="3"/>
      <c r="G69" s="3"/>
      <c r="H69" s="3"/>
    </row>
    <row r="70" spans="1:21" hidden="1" x14ac:dyDescent="0.25">
      <c r="A70" s="119" t="s">
        <v>27</v>
      </c>
      <c r="B70" s="119"/>
      <c r="C70" s="120" t="s">
        <v>28</v>
      </c>
      <c r="D70" s="121"/>
      <c r="E70" s="64"/>
      <c r="F70" s="64"/>
      <c r="G70" s="64"/>
      <c r="H70" s="64"/>
    </row>
    <row r="71" spans="1:21" ht="42" x14ac:dyDescent="0.25">
      <c r="A71" s="103" t="s">
        <v>17</v>
      </c>
      <c r="B71" s="103" t="s">
        <v>18</v>
      </c>
      <c r="C71" s="103" t="s">
        <v>29</v>
      </c>
      <c r="D71" s="103" t="s">
        <v>21</v>
      </c>
      <c r="F71" s="66"/>
      <c r="G71" s="66"/>
      <c r="H71" s="66"/>
    </row>
    <row r="72" spans="1:21" ht="79.5" customHeight="1" x14ac:dyDescent="0.25">
      <c r="A72" s="104">
        <v>1</v>
      </c>
      <c r="B72" s="105" t="str">
        <f>+B48</f>
        <v xml:space="preserve">1.  HIDALGO E HIDALGO S.A SUCURSAL COLOMBIA. - HIDALGO E HIDALGO COLOMBIA S.A.S. - CASS CONSTRUCTORES &amp;
CIA S.C.A. - CARLOS ALBERTO SOLARTE SOLARTE.
</v>
      </c>
      <c r="C72" s="106">
        <f>+IF(IF($F$63=$B$81,[1]Math!F32,IF($F$63=$B$82,[1]Math!G32,[1]Math!H32))="RECHAZADA","RECHAZADA",IF(IF($F$63=$B$81,[1]Math!F32,IF($F$63=$B$82,[1]Math!G32,[1]Math!H32))&lt;&gt;"",IF($F$63=$B$81,[1]Math!F32,IF($F$63=$B$82,[1]Math!G32,[1]Math!H32)),""))</f>
        <v>700</v>
      </c>
      <c r="D72" s="107">
        <f>IF(C72="rechazada","nd",+C48/B$9)</f>
        <v>0.86894044614571675</v>
      </c>
      <c r="F72" s="108"/>
      <c r="G72" s="108"/>
      <c r="H72" s="108"/>
    </row>
    <row r="73" spans="1:21" ht="78" customHeight="1" x14ac:dyDescent="0.25">
      <c r="A73" s="104">
        <v>2</v>
      </c>
      <c r="B73" s="105" t="str">
        <f>+B49</f>
        <v xml:space="preserve">2.KMA CONSTRUCCIONES S.A.- ORTIZ CONSTRUCCIONES Y PROYECTOS S.A.- EQUIPO UNIVERSAL S.A.- OBRESCA S.A.S. </v>
      </c>
      <c r="C73" s="106">
        <f>+IF(IF($F$63=$B$81,[1]Math!F33,IF($F$63=$B$82,[1]Math!G33,[1]Math!H33))="RECHAZADA","RECHAZADA",IF(IF($F$63=$B$81,[1]Math!F33,IF($F$63=$B$82,[1]Math!G33,[1]Math!H33))&lt;&gt;"",IF($F$63=$B$81,[1]Math!F33,IF($F$63=$B$82,[1]Math!G33,[1]Math!H33)),""))</f>
        <v>611</v>
      </c>
      <c r="D73" s="107">
        <f>IF(C73="rechazada","nd",+C49/B$9)</f>
        <v>0.99539381970623464</v>
      </c>
      <c r="E73" s="109"/>
      <c r="F73" s="108"/>
      <c r="G73" s="108"/>
      <c r="H73" s="108"/>
    </row>
    <row r="74" spans="1:21" s="55" customFormat="1" ht="36" x14ac:dyDescent="0.25">
      <c r="A74" s="110"/>
      <c r="B74" s="111"/>
      <c r="C74" s="112"/>
      <c r="D74" s="113"/>
      <c r="E74" s="114"/>
      <c r="F74" s="114"/>
      <c r="G74" s="114"/>
      <c r="H74" s="114"/>
      <c r="S74" s="53"/>
      <c r="T74" s="53"/>
      <c r="U74" s="53"/>
    </row>
    <row r="75" spans="1:21" s="55" customFormat="1" x14ac:dyDescent="0.25">
      <c r="A75" s="114"/>
      <c r="B75" s="114"/>
      <c r="C75" s="114"/>
      <c r="D75" s="114"/>
      <c r="E75" s="114"/>
      <c r="F75" s="114"/>
      <c r="G75" s="114"/>
      <c r="H75" s="114"/>
      <c r="S75" s="53"/>
      <c r="T75" s="53"/>
      <c r="U75" s="53"/>
    </row>
    <row r="81" spans="2:3" x14ac:dyDescent="0.25">
      <c r="B81" s="3" t="s">
        <v>30</v>
      </c>
      <c r="C81" s="115"/>
    </row>
    <row r="82" spans="2:3" x14ac:dyDescent="0.25">
      <c r="B82" s="3" t="s">
        <v>31</v>
      </c>
    </row>
    <row r="83" spans="2:3" x14ac:dyDescent="0.25">
      <c r="B83" s="3" t="s">
        <v>25</v>
      </c>
    </row>
  </sheetData>
  <mergeCells count="11">
    <mergeCell ref="A62:B62"/>
    <mergeCell ref="B5:N5"/>
    <mergeCell ref="B6:N6"/>
    <mergeCell ref="B7:N7"/>
    <mergeCell ref="B14:C14"/>
    <mergeCell ref="J45:K45"/>
    <mergeCell ref="A63:B63"/>
    <mergeCell ref="A64:B64"/>
    <mergeCell ref="A65:B65"/>
    <mergeCell ref="A70:B70"/>
    <mergeCell ref="C70:D70"/>
  </mergeCells>
  <dataValidations count="1">
    <dataValidation type="list" allowBlank="1" showInputMessage="1" showErrorMessage="1" sqref="F63">
      <formula1>$B$81:$B$83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Pupo Arabia</dc:creator>
  <cp:lastModifiedBy>Magda Lucia Olarte Gonzalez</cp:lastModifiedBy>
  <dcterms:created xsi:type="dcterms:W3CDTF">2015-06-16T20:01:42Z</dcterms:created>
  <dcterms:modified xsi:type="dcterms:W3CDTF">2015-06-17T15:42:10Z</dcterms:modified>
</cp:coreProperties>
</file>