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drawings/drawing2.xml" ContentType="application/vnd.openxmlformats-officedocument.drawing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drawings/drawing3.xml" ContentType="application/vnd.openxmlformats-officedocument.drawing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pivotTables/pivotTable6.xml" ContentType="application/vnd.openxmlformats-officedocument.spreadsheetml.pivotTable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hidePivotFieldList="1"/>
  <mc:AlternateContent xmlns:mc="http://schemas.openxmlformats.org/markup-compatibility/2006">
    <mc:Choice Requires="x15">
      <x15ac:absPath xmlns:x15ac="http://schemas.microsoft.com/office/spreadsheetml/2010/11/ac" url="G:\Mi unidad\Konfirma SAS (Gestor Documental)\Juridica\1. Proyectos\2. ANI\2. Operación\9. IPB-002-2021 Puerto Salgar\14. Audiencia\"/>
    </mc:Choice>
  </mc:AlternateContent>
  <xr:revisionPtr revIDLastSave="0" documentId="13_ncr:1_{4C2F0033-9AE7-4306-8FE4-1AED6E936F0F}" xr6:coauthVersionLast="47" xr6:coauthVersionMax="47" xr10:uidLastSave="{00000000-0000-0000-0000-000000000000}"/>
  <bookViews>
    <workbookView xWindow="-120" yWindow="-120" windowWidth="20730" windowHeight="11160" tabRatio="500" activeTab="6" xr2:uid="{00000000-000D-0000-FFFF-FFFF00000000}"/>
  </bookViews>
  <sheets>
    <sheet name="ofertas" sheetId="7" r:id="rId1"/>
    <sheet name="Ev. Financiera" sheetId="1" r:id="rId2"/>
    <sheet name="M1" sheetId="2" state="hidden" r:id="rId3"/>
    <sheet name="M2" sheetId="3" r:id="rId4"/>
    <sheet name="M3" sheetId="4" state="hidden" r:id="rId5"/>
    <sheet name="M4" sheetId="5" state="hidden" r:id="rId6"/>
    <sheet name="Resultados" sheetId="6" r:id="rId7"/>
  </sheets>
  <calcPr calcId="191029" concurrentCalc="0"/>
  <pivotCaches>
    <pivotCache cacheId="0" r:id="rId8"/>
    <pivotCache cacheId="1" r:id="rId9"/>
  </pivotCaches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31" i="1" l="1"/>
  <c r="D32" i="1"/>
  <c r="D33" i="1"/>
  <c r="D34" i="1"/>
  <c r="D8" i="1"/>
  <c r="C8" i="1"/>
  <c r="J30" i="7"/>
  <c r="J31" i="7"/>
  <c r="J32" i="7"/>
  <c r="J33" i="7"/>
  <c r="J34" i="7"/>
  <c r="J35" i="7"/>
  <c r="J36" i="7"/>
  <c r="J37" i="7"/>
  <c r="J38" i="7"/>
  <c r="J39" i="7"/>
  <c r="J40" i="7"/>
  <c r="J41" i="7"/>
  <c r="J42" i="7"/>
  <c r="J43" i="7"/>
  <c r="J44" i="7"/>
  <c r="J45" i="7"/>
  <c r="J46" i="7"/>
  <c r="J47" i="7"/>
  <c r="J27" i="7"/>
  <c r="B14" i="2"/>
  <c r="C15" i="2"/>
  <c r="C17" i="2"/>
  <c r="K30" i="7"/>
  <c r="K31" i="7"/>
  <c r="K32" i="7"/>
  <c r="K33" i="7"/>
  <c r="K34" i="7"/>
  <c r="K35" i="7"/>
  <c r="K36" i="7"/>
  <c r="K37" i="7"/>
  <c r="K38" i="7"/>
  <c r="K39" i="7"/>
  <c r="K40" i="7"/>
  <c r="K41" i="7"/>
  <c r="K42" i="7"/>
  <c r="K43" i="7"/>
  <c r="K44" i="7"/>
  <c r="K45" i="7"/>
  <c r="K46" i="7"/>
  <c r="K47" i="7"/>
  <c r="K27" i="7"/>
  <c r="K26" i="7"/>
  <c r="D17" i="1"/>
  <c r="J26" i="7"/>
  <c r="D16" i="1"/>
  <c r="I30" i="7"/>
  <c r="I31" i="7"/>
  <c r="I32" i="7"/>
  <c r="I33" i="7"/>
  <c r="I34" i="7"/>
  <c r="I35" i="7"/>
  <c r="I36" i="7"/>
  <c r="I37" i="7"/>
  <c r="I38" i="7"/>
  <c r="I39" i="7"/>
  <c r="I40" i="7"/>
  <c r="I41" i="7"/>
  <c r="I42" i="7"/>
  <c r="I43" i="7"/>
  <c r="I44" i="7"/>
  <c r="I45" i="7"/>
  <c r="I46" i="7"/>
  <c r="I47" i="7"/>
  <c r="I27" i="7"/>
  <c r="I26" i="7"/>
  <c r="D15" i="1"/>
  <c r="H30" i="7"/>
  <c r="H31" i="7"/>
  <c r="H32" i="7"/>
  <c r="H33" i="7"/>
  <c r="H34" i="7"/>
  <c r="H35" i="7"/>
  <c r="H36" i="7"/>
  <c r="H37" i="7"/>
  <c r="H38" i="7"/>
  <c r="H39" i="7"/>
  <c r="H40" i="7"/>
  <c r="H41" i="7"/>
  <c r="H42" i="7"/>
  <c r="H43" i="7"/>
  <c r="H44" i="7"/>
  <c r="H45" i="7"/>
  <c r="H46" i="7"/>
  <c r="H47" i="7"/>
  <c r="H27" i="7"/>
  <c r="H26" i="7"/>
  <c r="D14" i="1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46" i="7"/>
  <c r="F47" i="7"/>
  <c r="F27" i="7"/>
  <c r="F26" i="7"/>
  <c r="D12" i="1"/>
  <c r="G30" i="7"/>
  <c r="G31" i="7"/>
  <c r="G32" i="7"/>
  <c r="G33" i="7"/>
  <c r="G34" i="7"/>
  <c r="G35" i="7"/>
  <c r="G36" i="7"/>
  <c r="G37" i="7"/>
  <c r="G38" i="7"/>
  <c r="G39" i="7"/>
  <c r="G40" i="7"/>
  <c r="G41" i="7"/>
  <c r="G42" i="7"/>
  <c r="G43" i="7"/>
  <c r="G44" i="7"/>
  <c r="G45" i="7"/>
  <c r="G46" i="7"/>
  <c r="G47" i="7"/>
  <c r="G27" i="7"/>
  <c r="G26" i="7"/>
  <c r="D13" i="1"/>
  <c r="E30" i="7"/>
  <c r="E31" i="7"/>
  <c r="E32" i="7"/>
  <c r="E33" i="7"/>
  <c r="E34" i="7"/>
  <c r="E35" i="7"/>
  <c r="E36" i="7"/>
  <c r="E37" i="7"/>
  <c r="E38" i="7"/>
  <c r="E39" i="7"/>
  <c r="E40" i="7"/>
  <c r="E41" i="7"/>
  <c r="E42" i="7"/>
  <c r="E43" i="7"/>
  <c r="E44" i="7"/>
  <c r="E45" i="7"/>
  <c r="E46" i="7"/>
  <c r="E47" i="7"/>
  <c r="E27" i="7"/>
  <c r="E26" i="7"/>
  <c r="D11" i="1"/>
  <c r="C16" i="2"/>
  <c r="A6" i="2"/>
  <c r="A7" i="2"/>
  <c r="A8" i="2"/>
  <c r="A9" i="2"/>
  <c r="A10" i="2"/>
  <c r="A11" i="2"/>
  <c r="A12" i="2"/>
  <c r="C19" i="2"/>
  <c r="C26" i="7"/>
  <c r="B8" i="7"/>
  <c r="B9" i="7"/>
  <c r="B10" i="7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D7" i="2"/>
  <c r="D8" i="2"/>
  <c r="D9" i="2"/>
  <c r="D10" i="2"/>
  <c r="D11" i="2"/>
  <c r="D12" i="2"/>
  <c r="C15" i="4"/>
  <c r="C16" i="4"/>
  <c r="C17" i="4"/>
  <c r="A6" i="4"/>
  <c r="A7" i="4"/>
  <c r="A8" i="4"/>
  <c r="A9" i="4"/>
  <c r="A10" i="4"/>
  <c r="A11" i="4"/>
  <c r="A12" i="4"/>
  <c r="C19" i="4"/>
  <c r="C20" i="4"/>
  <c r="D6" i="4"/>
  <c r="B5" i="6"/>
  <c r="E12" i="1"/>
  <c r="F12" i="1"/>
  <c r="C14" i="3"/>
  <c r="C15" i="3"/>
  <c r="A6" i="3"/>
  <c r="A7" i="3"/>
  <c r="A8" i="3"/>
  <c r="A9" i="3"/>
  <c r="A10" i="3"/>
  <c r="A11" i="3"/>
  <c r="A12" i="3"/>
  <c r="C17" i="3"/>
  <c r="C18" i="3"/>
  <c r="D9" i="3"/>
  <c r="D11" i="3"/>
  <c r="D10" i="3"/>
  <c r="D7" i="3"/>
  <c r="H12" i="1"/>
  <c r="D9" i="6"/>
  <c r="I9" i="6"/>
  <c r="E13" i="1"/>
  <c r="F13" i="1"/>
  <c r="D12" i="3"/>
  <c r="D6" i="3"/>
  <c r="H13" i="1"/>
  <c r="D10" i="6"/>
  <c r="I10" i="6"/>
  <c r="E14" i="1"/>
  <c r="F14" i="1"/>
  <c r="D8" i="3"/>
  <c r="H14" i="1"/>
  <c r="D11" i="6"/>
  <c r="I11" i="6"/>
  <c r="E15" i="1"/>
  <c r="F15" i="1"/>
  <c r="H15" i="1"/>
  <c r="D12" i="6"/>
  <c r="I12" i="6"/>
  <c r="E16" i="1"/>
  <c r="F16" i="1"/>
  <c r="H16" i="1"/>
  <c r="D13" i="6"/>
  <c r="I13" i="6"/>
  <c r="E17" i="1"/>
  <c r="F17" i="1"/>
  <c r="H17" i="1"/>
  <c r="D14" i="6"/>
  <c r="I14" i="6"/>
  <c r="B9" i="6"/>
  <c r="C9" i="6"/>
  <c r="B10" i="6"/>
  <c r="C10" i="6"/>
  <c r="B11" i="6"/>
  <c r="C11" i="6"/>
  <c r="B12" i="6"/>
  <c r="C12" i="6"/>
  <c r="B13" i="6"/>
  <c r="C13" i="6"/>
  <c r="B14" i="6"/>
  <c r="C14" i="6"/>
  <c r="C8" i="6"/>
  <c r="B8" i="6"/>
  <c r="C15" i="5"/>
  <c r="A6" i="5"/>
  <c r="A7" i="5"/>
  <c r="A8" i="5"/>
  <c r="A9" i="5"/>
  <c r="A10" i="5"/>
  <c r="A11" i="5"/>
  <c r="A12" i="5"/>
  <c r="C16" i="5"/>
  <c r="C17" i="5"/>
  <c r="D10" i="5"/>
  <c r="D8" i="5"/>
  <c r="D7" i="5"/>
  <c r="D6" i="5"/>
  <c r="D12" i="5"/>
  <c r="J17" i="1"/>
  <c r="D9" i="5"/>
  <c r="J14" i="1"/>
  <c r="D11" i="5"/>
  <c r="J15" i="1"/>
  <c r="J16" i="1"/>
  <c r="J12" i="1"/>
  <c r="J13" i="1"/>
  <c r="E11" i="1"/>
  <c r="F11" i="1"/>
  <c r="J11" i="1"/>
  <c r="D9" i="4"/>
  <c r="D11" i="4"/>
  <c r="D10" i="4"/>
  <c r="D7" i="4"/>
  <c r="I12" i="1"/>
  <c r="D12" i="4"/>
  <c r="I13" i="1"/>
  <c r="D8" i="4"/>
  <c r="I14" i="1"/>
  <c r="I15" i="1"/>
  <c r="I16" i="1"/>
  <c r="I17" i="1"/>
  <c r="I11" i="1"/>
  <c r="H11" i="1"/>
  <c r="G12" i="1"/>
  <c r="D6" i="2"/>
  <c r="G13" i="1"/>
  <c r="G14" i="1"/>
  <c r="G15" i="1"/>
  <c r="G16" i="1"/>
  <c r="G17" i="1"/>
  <c r="G11" i="1"/>
  <c r="D8" i="6"/>
  <c r="F16" i="2"/>
  <c r="I8" i="6"/>
</calcChain>
</file>

<file path=xl/sharedStrings.xml><?xml version="1.0" encoding="utf-8"?>
<sst xmlns="http://schemas.openxmlformats.org/spreadsheetml/2006/main" count="144" uniqueCount="94">
  <si>
    <t>Nombre</t>
  </si>
  <si>
    <t>Oferta Económica</t>
  </si>
  <si>
    <t>Metodo 1</t>
  </si>
  <si>
    <t>Mediana con valor Absoluto</t>
  </si>
  <si>
    <t>Media Geométrica</t>
  </si>
  <si>
    <t>Media aritmética baja</t>
  </si>
  <si>
    <t>Menor Valor</t>
  </si>
  <si>
    <t>Metodo 2</t>
  </si>
  <si>
    <t>Metodo 3</t>
  </si>
  <si>
    <t>Metodo 4</t>
  </si>
  <si>
    <t>3. asignar maximo puntaje a la mediana en caso de impar</t>
  </si>
  <si>
    <t>1. organizar de menor a mayor</t>
  </si>
  <si>
    <t>2 calcular mediana con valor absoluto</t>
  </si>
  <si>
    <t>Etiquetas de fila</t>
  </si>
  <si>
    <t>Oferta Econ.</t>
  </si>
  <si>
    <t>Vme</t>
  </si>
  <si>
    <t>Vmg</t>
  </si>
  <si>
    <t>2 calcular media Geométrica</t>
  </si>
  <si>
    <t>Media Geometrica</t>
  </si>
  <si>
    <t>Mínimo</t>
  </si>
  <si>
    <t>Promedio</t>
  </si>
  <si>
    <t>Media aritmetica baja</t>
  </si>
  <si>
    <t>2 calcular menor valor</t>
  </si>
  <si>
    <t>3. calcular promedio artimetico</t>
  </si>
  <si>
    <t>3. asignar maximo puntaje a oferta mas cercana a Valor media geométrica</t>
  </si>
  <si>
    <t>Diferencia</t>
  </si>
  <si>
    <t>Metodo 1: Mediana con valor absoluto</t>
  </si>
  <si>
    <t>Prop.</t>
  </si>
  <si>
    <t>Método 2: Media Geométrica</t>
  </si>
  <si>
    <t>Metodo 3: Media aritmética baja</t>
  </si>
  <si>
    <t>Metodo 4: Menor valor</t>
  </si>
  <si>
    <t>0.00 a 0.24</t>
  </si>
  <si>
    <t>0.25 a 0.49</t>
  </si>
  <si>
    <t>0.50 a 0.74</t>
  </si>
  <si>
    <t>0.75 a 0.99</t>
  </si>
  <si>
    <t># Prop.</t>
  </si>
  <si>
    <t>Suma de Oferta Económica</t>
  </si>
  <si>
    <t>4. calcular media artimetica baja</t>
  </si>
  <si>
    <t>Min diferencia</t>
  </si>
  <si>
    <t>Oferta MD</t>
  </si>
  <si>
    <t>Menor valor</t>
  </si>
  <si>
    <t>https://www.superfinanciera.gov.co/inicio/informes-y-cifras/cifras/establecimientos-de-credito/informacion-periodica/diaria/tasa-de-cambio-representativa-del-mercado-trm-60819</t>
  </si>
  <si>
    <t>Oferta económica</t>
  </si>
  <si>
    <t>Factor de calidad</t>
  </si>
  <si>
    <t>Apoyo a la industria nacional</t>
  </si>
  <si>
    <t>Total</t>
  </si>
  <si>
    <t>VALOR MAXIMO OFERTA ECONOMICA</t>
  </si>
  <si>
    <t>Mediana</t>
  </si>
  <si>
    <t>Media Aritmética con Mediana</t>
  </si>
  <si>
    <t>Oferta hábil NO rechazada</t>
  </si>
  <si>
    <t>Habil</t>
  </si>
  <si>
    <t>Mano de obra local</t>
  </si>
  <si>
    <t>Oferta Vme</t>
  </si>
  <si>
    <t>Trabajadores discapacidad</t>
  </si>
  <si>
    <t>5. Asignar resto de valores en proporcion</t>
  </si>
  <si>
    <t>4 asignar puntajes en funcion de valor absoluto de diferncia con la media geométrica</t>
  </si>
  <si>
    <t xml:space="preserve">5. Asignar valores en proporcion a la diferencia con media aritmetica </t>
  </si>
  <si>
    <t>2. oferta con menor valor obtiene maximo puntaje</t>
  </si>
  <si>
    <t xml:space="preserve">3. Asignar resto de valores en proporcion </t>
  </si>
  <si>
    <t xml:space="preserve">Proceso de contratación </t>
  </si>
  <si>
    <t>Proceso de contratación</t>
  </si>
  <si>
    <t>SI</t>
  </si>
  <si>
    <t>Media Artimética</t>
  </si>
  <si>
    <t>Oferta</t>
  </si>
  <si>
    <t>LÍMITE INFERIOR (90%)</t>
  </si>
  <si>
    <t>4. asignar maximo puntaje a siguiente valor por debajo de mediana en caso de par</t>
  </si>
  <si>
    <t>oferta</t>
  </si>
  <si>
    <t>Impar (mediana)</t>
  </si>
  <si>
    <t>Par (menor valor mediana)</t>
  </si>
  <si>
    <t>Puntaje Total</t>
  </si>
  <si>
    <t>Orden de Elegibilidad</t>
  </si>
  <si>
    <t>ESTRUCTURA PLURAL NUEVO MAGDALENA NO. 1</t>
  </si>
  <si>
    <t>ESTRUCTURA PLURAL VALLE DEL RIO 1</t>
  </si>
  <si>
    <t>ESTRUCTURA PLURAL  RUTA AL MAGDALENA PUERTO SALGAR BARRANCABERMEJA</t>
  </si>
  <si>
    <t xml:space="preserve">ESTRUCTURA PLURAL AUTOPISTA MAGDALENA MEDIO </t>
  </si>
  <si>
    <t>ESTRUCTURA PLURAL  DEL RIO GRANDE 1</t>
  </si>
  <si>
    <t xml:space="preserve">ESTRUCTURA PLURAL TRONCAL DEL MAGDALENA </t>
  </si>
  <si>
    <t>SACYR CONCESIONES</t>
  </si>
  <si>
    <t>ESTRUCTURA PLURAL  RUTA AL MAGDALENA PTO SALGAR BARRANCABERMEJA</t>
  </si>
  <si>
    <t>PUERTO SALGAR - BARRANCABERMEJA</t>
  </si>
  <si>
    <t>Año</t>
  </si>
  <si>
    <t>VF aprobadas</t>
  </si>
  <si>
    <t>P1</t>
  </si>
  <si>
    <t>P2</t>
  </si>
  <si>
    <t>P3</t>
  </si>
  <si>
    <t>P4</t>
  </si>
  <si>
    <t>P5</t>
  </si>
  <si>
    <t>P6</t>
  </si>
  <si>
    <t>P7</t>
  </si>
  <si>
    <t>VPPA</t>
  </si>
  <si>
    <t>HABIL?</t>
  </si>
  <si>
    <t>TRM</t>
  </si>
  <si>
    <t>No proponente</t>
  </si>
  <si>
    <t xml:space="preserve">Informe de evaluacion de la oferta economica elaborado por KONFIRMA S.A.S.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</si>
</sst>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6" formatCode="&quot;$&quot;\ #,##0;[Red]\-&quot;$&quot;\ #,##0"/>
    <numFmt numFmtId="41" formatCode="_-* #,##0_-;\-* #,##0_-;_-* &quot;-&quot;_-;_-@_-"/>
    <numFmt numFmtId="164" formatCode="&quot;$&quot;#,##0;[Red]\-&quot;$&quot;#,##0"/>
    <numFmt numFmtId="165" formatCode="_-&quot;$&quot;* #,##0_-;\-&quot;$&quot;* #,##0_-;_-&quot;$&quot;* &quot;-&quot;_-;_-@_-"/>
    <numFmt numFmtId="166" formatCode="_-&quot;$&quot;* #,##0.00_-;\-&quot;$&quot;* #,##0.00_-;_-&quot;$&quot;* &quot;-&quot;??_-;_-@_-"/>
    <numFmt numFmtId="167" formatCode="&quot;$&quot;#,##0"/>
    <numFmt numFmtId="168" formatCode="_-* #,##0.00_-;\-* #,##0.00_-;_-* &quot;-&quot;_-;_-@_-"/>
    <numFmt numFmtId="169" formatCode="_-* #,##0.0000000_-;\-* #,##0.0000000_-;_-* &quot;-&quot;_-;_-@_-"/>
    <numFmt numFmtId="170" formatCode="_-&quot;$&quot;* #,##0.00_-;\-&quot;$&quot;* #,##0.00_-;_-&quot;$&quot;* &quot;-&quot;_-;_-@_-"/>
  </numFmts>
  <fonts count="21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6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scheme val="minor"/>
    </font>
    <font>
      <sz val="12"/>
      <color theme="1" tint="0.499984740745262"/>
      <name val="Calibri"/>
      <family val="2"/>
      <scheme val="minor"/>
    </font>
    <font>
      <b/>
      <sz val="12"/>
      <color theme="1" tint="0.499984740745262"/>
      <name val="Calibri"/>
      <family val="2"/>
      <scheme val="minor"/>
    </font>
    <font>
      <sz val="18"/>
      <color theme="1"/>
      <name val="Calibri"/>
      <family val="2"/>
      <scheme val="minor"/>
    </font>
    <font>
      <sz val="12"/>
      <color theme="0" tint="-0.499984740745262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sz val="8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6"/>
      <color theme="0" tint="-0.34998626667073579"/>
      <name val="Calibri"/>
      <family val="2"/>
      <scheme val="minor"/>
    </font>
    <font>
      <b/>
      <sz val="12"/>
      <color theme="0" tint="-0.3499862666707357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9" tint="0.79998168889431442"/>
      </top>
      <bottom style="thin">
        <color theme="9" tint="0.7999816888943144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18">
    <xf numFmtId="0" fontId="0" fillId="0" borderId="0"/>
    <xf numFmtId="41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70">
    <xf numFmtId="0" fontId="0" fillId="0" borderId="0" xfId="0"/>
    <xf numFmtId="0" fontId="6" fillId="0" borderId="0" xfId="0" applyFont="1"/>
    <xf numFmtId="165" fontId="0" fillId="0" borderId="0" xfId="2" applyFont="1"/>
    <xf numFmtId="0" fontId="0" fillId="0" borderId="0" xfId="0" pivotButton="1"/>
    <xf numFmtId="0" fontId="0" fillId="0" borderId="0" xfId="0" applyAlignment="1">
      <alignment horizontal="left"/>
    </xf>
    <xf numFmtId="167" fontId="0" fillId="0" borderId="0" xfId="0" applyNumberFormat="1"/>
    <xf numFmtId="0" fontId="3" fillId="0" borderId="0" xfId="0" applyFont="1"/>
    <xf numFmtId="167" fontId="3" fillId="0" borderId="0" xfId="2" applyNumberFormat="1" applyFont="1"/>
    <xf numFmtId="168" fontId="0" fillId="0" borderId="0" xfId="1" applyNumberFormat="1" applyFont="1"/>
    <xf numFmtId="167" fontId="0" fillId="2" borderId="0" xfId="0" applyNumberFormat="1" applyFill="1"/>
    <xf numFmtId="41" fontId="0" fillId="0" borderId="0" xfId="0" applyNumberFormat="1"/>
    <xf numFmtId="0" fontId="7" fillId="0" borderId="0" xfId="0" applyFont="1"/>
    <xf numFmtId="41" fontId="7" fillId="0" borderId="0" xfId="1" applyFont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/>
    <xf numFmtId="0" fontId="9" fillId="0" borderId="0" xfId="0" applyFont="1"/>
    <xf numFmtId="0" fontId="4" fillId="0" borderId="0" xfId="15"/>
    <xf numFmtId="0" fontId="3" fillId="0" borderId="1" xfId="0" applyFont="1" applyFill="1" applyBorder="1" applyAlignment="1">
      <alignment horizontal="center" vertical="top" wrapText="1"/>
    </xf>
    <xf numFmtId="164" fontId="8" fillId="0" borderId="1" xfId="2" applyNumberFormat="1" applyFont="1" applyBorder="1"/>
    <xf numFmtId="164" fontId="8" fillId="0" borderId="0" xfId="2" applyNumberFormat="1" applyFont="1" applyBorder="1"/>
    <xf numFmtId="165" fontId="0" fillId="0" borderId="0" xfId="0" applyNumberFormat="1"/>
    <xf numFmtId="0" fontId="10" fillId="0" borderId="2" xfId="0" applyFont="1" applyBorder="1"/>
    <xf numFmtId="0" fontId="3" fillId="0" borderId="1" xfId="0" applyFont="1" applyFill="1" applyBorder="1" applyAlignment="1">
      <alignment horizontal="center"/>
    </xf>
    <xf numFmtId="169" fontId="0" fillId="0" borderId="0" xfId="1" applyNumberFormat="1" applyFont="1"/>
    <xf numFmtId="0" fontId="12" fillId="0" borderId="0" xfId="0" quotePrefix="1" applyFont="1"/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0" fontId="0" fillId="0" borderId="0" xfId="16" applyNumberFormat="1" applyFont="1"/>
    <xf numFmtId="165" fontId="0" fillId="0" borderId="0" xfId="2" applyFont="1" applyBorder="1"/>
    <xf numFmtId="165" fontId="0" fillId="0" borderId="0" xfId="2" applyFont="1" applyBorder="1" applyAlignment="1">
      <alignment horizontal="center"/>
    </xf>
    <xf numFmtId="169" fontId="0" fillId="0" borderId="0" xfId="1" applyNumberFormat="1" applyFont="1" applyFill="1" applyBorder="1" applyAlignment="1"/>
    <xf numFmtId="169" fontId="0" fillId="0" borderId="0" xfId="1" applyNumberFormat="1" applyFont="1" applyBorder="1" applyAlignment="1"/>
    <xf numFmtId="0" fontId="0" fillId="0" borderId="0" xfId="0" applyFont="1" applyBorder="1"/>
    <xf numFmtId="0" fontId="13" fillId="0" borderId="2" xfId="0" applyFont="1" applyFill="1" applyBorder="1"/>
    <xf numFmtId="0" fontId="13" fillId="0" borderId="2" xfId="0" applyFont="1" applyFill="1" applyBorder="1" applyAlignment="1">
      <alignment horizontal="left"/>
    </xf>
    <xf numFmtId="167" fontId="13" fillId="0" borderId="2" xfId="0" applyNumberFormat="1" applyFont="1" applyFill="1" applyBorder="1"/>
    <xf numFmtId="167" fontId="7" fillId="0" borderId="0" xfId="1" applyNumberFormat="1" applyFont="1"/>
    <xf numFmtId="167" fontId="0" fillId="0" borderId="3" xfId="0" applyNumberFormat="1" applyFont="1" applyBorder="1"/>
    <xf numFmtId="41" fontId="0" fillId="2" borderId="0" xfId="1" applyFont="1" applyFill="1"/>
    <xf numFmtId="0" fontId="0" fillId="0" borderId="0" xfId="0" applyAlignment="1">
      <alignment vertical="center"/>
    </xf>
    <xf numFmtId="0" fontId="0" fillId="0" borderId="1" xfId="0" pivotButton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6" fontId="0" fillId="0" borderId="0" xfId="0" applyNumberFormat="1"/>
    <xf numFmtId="0" fontId="11" fillId="0" borderId="0" xfId="0" applyFont="1" applyBorder="1"/>
    <xf numFmtId="166" fontId="11" fillId="0" borderId="0" xfId="2" applyNumberFormat="1" applyFont="1" applyBorder="1"/>
    <xf numFmtId="0" fontId="0" fillId="0" borderId="1" xfId="0" applyFont="1" applyBorder="1" applyAlignment="1">
      <alignment vertical="center"/>
    </xf>
    <xf numFmtId="165" fontId="0" fillId="0" borderId="1" xfId="2" applyFont="1" applyBorder="1" applyAlignment="1">
      <alignment vertical="center"/>
    </xf>
    <xf numFmtId="165" fontId="0" fillId="0" borderId="1" xfId="2" applyFont="1" applyBorder="1" applyAlignment="1">
      <alignment horizontal="center" vertical="center"/>
    </xf>
    <xf numFmtId="169" fontId="0" fillId="0" borderId="1" xfId="1" applyNumberFormat="1" applyFont="1" applyFill="1" applyBorder="1" applyAlignment="1">
      <alignment vertical="center"/>
    </xf>
    <xf numFmtId="169" fontId="0" fillId="0" borderId="1" xfId="1" applyNumberFormat="1" applyFont="1" applyBorder="1" applyAlignment="1">
      <alignment vertical="center"/>
    </xf>
    <xf numFmtId="0" fontId="3" fillId="0" borderId="2" xfId="0" applyFont="1" applyBorder="1"/>
    <xf numFmtId="165" fontId="0" fillId="0" borderId="1" xfId="2" applyNumberFormat="1" applyFont="1" applyBorder="1" applyAlignment="1">
      <alignment vertical="center"/>
    </xf>
    <xf numFmtId="0" fontId="14" fillId="3" borderId="4" xfId="0" applyFont="1" applyFill="1" applyBorder="1" applyAlignment="1">
      <alignment horizontal="center" vertical="center" wrapText="1"/>
    </xf>
    <xf numFmtId="0" fontId="15" fillId="0" borderId="4" xfId="0" applyFont="1" applyBorder="1"/>
    <xf numFmtId="165" fontId="16" fillId="0" borderId="4" xfId="0" applyNumberFormat="1" applyFont="1" applyBorder="1" applyAlignment="1">
      <alignment horizontal="center" vertical="center" wrapText="1"/>
    </xf>
    <xf numFmtId="9" fontId="0" fillId="0" borderId="0" xfId="0" applyNumberFormat="1"/>
    <xf numFmtId="165" fontId="18" fillId="0" borderId="4" xfId="0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167" fontId="10" fillId="0" borderId="2" xfId="2" applyNumberFormat="1" applyFont="1" applyBorder="1"/>
    <xf numFmtId="167" fontId="3" fillId="0" borderId="2" xfId="2" applyNumberFormat="1" applyFont="1" applyBorder="1"/>
    <xf numFmtId="0" fontId="0" fillId="0" borderId="1" xfId="0" applyBorder="1"/>
    <xf numFmtId="164" fontId="19" fillId="0" borderId="1" xfId="2" applyNumberFormat="1" applyFont="1" applyBorder="1"/>
    <xf numFmtId="0" fontId="20" fillId="0" borderId="1" xfId="0" applyFont="1" applyBorder="1"/>
    <xf numFmtId="170" fontId="0" fillId="0" borderId="1" xfId="2" applyNumberFormat="1" applyFont="1" applyBorder="1"/>
    <xf numFmtId="41" fontId="0" fillId="0" borderId="1" xfId="1" applyNumberFormat="1" applyFont="1" applyBorder="1" applyAlignment="1">
      <alignment vertical="center"/>
    </xf>
    <xf numFmtId="169" fontId="3" fillId="0" borderId="1" xfId="0" applyNumberFormat="1" applyFont="1" applyBorder="1" applyAlignment="1">
      <alignment vertical="center"/>
    </xf>
    <xf numFmtId="0" fontId="0" fillId="0" borderId="1" xfId="0" applyBorder="1" applyAlignment="1">
      <alignment horizontal="left"/>
    </xf>
    <xf numFmtId="169" fontId="0" fillId="0" borderId="1" xfId="0" applyNumberFormat="1" applyBorder="1" applyAlignment="1"/>
  </cellXfs>
  <cellStyles count="18"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7" builtinId="9" hidden="1"/>
    <cellStyle name="Millares [0]" xfId="1" builtinId="6"/>
    <cellStyle name="Moneda [0]" xfId="2" builtinId="7"/>
    <cellStyle name="Normal" xfId="0" builtinId="0"/>
    <cellStyle name="Porcentaje" xfId="16" builtinId="5"/>
  </cellStyles>
  <dxfs count="28">
    <dxf>
      <alignment vertical="bottom"/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alignment vertical="center"/>
    </dxf>
    <dxf>
      <numFmt numFmtId="169" formatCode="_-* #,##0.0000000_-;\-* #,##0.0000000_-;_-* &quot;-&quot;_-;_-@_-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67" formatCode="&quot;$&quot;#,##0"/>
    </dxf>
    <dxf>
      <border>
        <right style="thin">
          <color theme="0" tint="-0.499984740745262"/>
        </right>
      </border>
    </dxf>
    <dxf>
      <numFmt numFmtId="167" formatCode="&quot;$&quot;#,##0"/>
    </dxf>
    <dxf>
      <border>
        <left style="thin">
          <color theme="0" tint="-0.499984740745262"/>
        </left>
        <top style="thin">
          <color theme="0" tint="-0.499984740745262"/>
        </top>
        <bottom style="thin">
          <color theme="0" tint="-0.499984740745262"/>
        </bottom>
        <vertical style="thin">
          <color theme="0" tint="-0.499984740745262"/>
        </vertical>
        <horizontal style="thin">
          <color theme="0" tint="-0.499984740745262"/>
        </horizontal>
      </border>
    </dxf>
    <dxf>
      <fill>
        <patternFill>
          <bgColor auto="1"/>
        </patternFill>
      </fill>
    </dxf>
    <dxf>
      <fill>
        <patternFill>
          <bgColor auto="1"/>
        </patternFill>
      </fill>
    </dxf>
    <dxf>
      <font>
        <color theme="0" tint="-0.499984740745262"/>
      </font>
    </dxf>
    <dxf>
      <font>
        <color theme="0" tint="-0.499984740745262"/>
      </font>
      <numFmt numFmtId="165" formatCode="_-&quot;$&quot;* #,##0_-;\-&quot;$&quot;* #,##0_-;_-&quot;$&quot;* &quot;-&quot;_-;_-@_-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9769</xdr:rowOff>
    </xdr:from>
    <xdr:to>
      <xdr:col>2</xdr:col>
      <xdr:colOff>122558</xdr:colOff>
      <xdr:row>1</xdr:row>
      <xdr:rowOff>193571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B40E01E-5D55-4072-B684-656252A722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8200" y="209794"/>
          <a:ext cx="1205685" cy="383826"/>
        </a:xfrm>
        <a:prstGeom prst="rect">
          <a:avLst/>
        </a:prstGeom>
      </xdr:spPr>
    </xdr:pic>
    <xdr:clientData/>
  </xdr:twoCellAnchor>
  <xdr:twoCellAnchor editAs="oneCell">
    <xdr:from>
      <xdr:col>5</xdr:col>
      <xdr:colOff>374301</xdr:colOff>
      <xdr:row>0</xdr:row>
      <xdr:rowOff>0</xdr:rowOff>
    </xdr:from>
    <xdr:to>
      <xdr:col>6</xdr:col>
      <xdr:colOff>1021385</xdr:colOff>
      <xdr:row>2</xdr:row>
      <xdr:rowOff>19415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2CCB8C4-C89E-4EC5-BD3E-951AA32C98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727101" y="200025"/>
          <a:ext cx="2029570" cy="41946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632558</xdr:colOff>
      <xdr:row>0</xdr:row>
      <xdr:rowOff>184803</xdr:rowOff>
    </xdr:from>
    <xdr:to>
      <xdr:col>2</xdr:col>
      <xdr:colOff>1833707</xdr:colOff>
      <xdr:row>2</xdr:row>
      <xdr:rowOff>160415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08391" y="184803"/>
          <a:ext cx="1201149" cy="377779"/>
        </a:xfrm>
        <a:prstGeom prst="rect">
          <a:avLst/>
        </a:prstGeom>
      </xdr:spPr>
    </xdr:pic>
    <xdr:clientData/>
  </xdr:twoCellAnchor>
  <xdr:twoCellAnchor editAs="oneCell">
    <xdr:from>
      <xdr:col>2</xdr:col>
      <xdr:colOff>2373922</xdr:colOff>
      <xdr:row>0</xdr:row>
      <xdr:rowOff>185617</xdr:rowOff>
    </xdr:from>
    <xdr:to>
      <xdr:col>2</xdr:col>
      <xdr:colOff>4403492</xdr:colOff>
      <xdr:row>2</xdr:row>
      <xdr:rowOff>196868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741614" y="185617"/>
          <a:ext cx="2034931" cy="421559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37</xdr:row>
      <xdr:rowOff>0</xdr:rowOff>
    </xdr:from>
    <xdr:to>
      <xdr:col>10</xdr:col>
      <xdr:colOff>277657</xdr:colOff>
      <xdr:row>40</xdr:row>
      <xdr:rowOff>178593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2C849C4-A893-E220-1B06-60696888F1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33438" y="8465344"/>
          <a:ext cx="10231282" cy="785812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58</xdr:row>
      <xdr:rowOff>0</xdr:rowOff>
    </xdr:from>
    <xdr:to>
      <xdr:col>2</xdr:col>
      <xdr:colOff>1609725</xdr:colOff>
      <xdr:row>60</xdr:row>
      <xdr:rowOff>21347</xdr:rowOff>
    </xdr:to>
    <xdr:pic>
      <xdr:nvPicPr>
        <xdr:cNvPr id="8" name="0 Imagen" descr="Descripción: Logo Blanco Sencillo.jpg">
          <a:extLst>
            <a:ext uri="{FF2B5EF4-FFF2-40B4-BE49-F238E27FC236}">
              <a16:creationId xmlns:a16="http://schemas.microsoft.com/office/drawing/2014/main" id="{ADC1A6BB-7EBD-4473-A453-11F3B089A3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5833" y="12678833"/>
          <a:ext cx="1609725" cy="4235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20</xdr:row>
      <xdr:rowOff>9525</xdr:rowOff>
    </xdr:from>
    <xdr:to>
      <xdr:col>1</xdr:col>
      <xdr:colOff>352425</xdr:colOff>
      <xdr:row>22</xdr:row>
      <xdr:rowOff>32989</xdr:rowOff>
    </xdr:to>
    <xdr:pic>
      <xdr:nvPicPr>
        <xdr:cNvPr id="2" name="0 Imagen" descr="Descripción: Logo Blanco Sencillo.jpg">
          <a:extLst>
            <a:ext uri="{FF2B5EF4-FFF2-40B4-BE49-F238E27FC236}">
              <a16:creationId xmlns:a16="http://schemas.microsoft.com/office/drawing/2014/main" id="{D3C075C1-C71F-438D-B36E-540B8325B9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4010025"/>
          <a:ext cx="1609725" cy="4235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746858</xdr:colOff>
      <xdr:row>1</xdr:row>
      <xdr:rowOff>5195</xdr:rowOff>
    </xdr:from>
    <xdr:to>
      <xdr:col>2</xdr:col>
      <xdr:colOff>1943957</xdr:colOff>
      <xdr:row>2</xdr:row>
      <xdr:rowOff>178277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70547" y="202665"/>
          <a:ext cx="1197099" cy="370551"/>
        </a:xfrm>
        <a:prstGeom prst="rect">
          <a:avLst/>
        </a:prstGeom>
      </xdr:spPr>
    </xdr:pic>
    <xdr:clientData/>
  </xdr:twoCellAnchor>
  <xdr:twoCellAnchor editAs="oneCell">
    <xdr:from>
      <xdr:col>2</xdr:col>
      <xdr:colOff>2373922</xdr:colOff>
      <xdr:row>0</xdr:row>
      <xdr:rowOff>185617</xdr:rowOff>
    </xdr:from>
    <xdr:to>
      <xdr:col>2</xdr:col>
      <xdr:colOff>4413157</xdr:colOff>
      <xdr:row>3</xdr:row>
      <xdr:rowOff>320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732822" y="185617"/>
          <a:ext cx="2039815" cy="417651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304800</xdr:colOff>
      <xdr:row>6</xdr:row>
      <xdr:rowOff>308883</xdr:rowOff>
    </xdr:to>
    <xdr:sp macro="" textlink="">
      <xdr:nvSpPr>
        <xdr:cNvPr id="2049" name="AutoShape 1">
          <a:extLst>
            <a:ext uri="{FF2B5EF4-FFF2-40B4-BE49-F238E27FC236}">
              <a16:creationId xmlns:a16="http://schemas.microsoft.com/office/drawing/2014/main" id="{08C228E8-C69C-899D-FACD-125E11A12EEB}"/>
            </a:ext>
          </a:extLst>
        </xdr:cNvPr>
        <xdr:cNvSpPr>
          <a:spLocks noChangeAspect="1" noChangeArrowheads="1"/>
        </xdr:cNvSpPr>
      </xdr:nvSpPr>
      <xdr:spPr bwMode="auto">
        <a:xfrm>
          <a:off x="12611100" y="1400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29</xdr:row>
      <xdr:rowOff>0</xdr:rowOff>
    </xdr:from>
    <xdr:to>
      <xdr:col>2</xdr:col>
      <xdr:colOff>180975</xdr:colOff>
      <xdr:row>31</xdr:row>
      <xdr:rowOff>28575</xdr:rowOff>
    </xdr:to>
    <xdr:pic>
      <xdr:nvPicPr>
        <xdr:cNvPr id="6" name="0 Imagen" descr="Descripción: Logo Blanco Sencillo.jpg">
          <a:extLst>
            <a:ext uri="{FF2B5EF4-FFF2-40B4-BE49-F238E27FC236}">
              <a16:creationId xmlns:a16="http://schemas.microsoft.com/office/drawing/2014/main" id="{A4CAA038-F266-4099-85D9-1A26BF43D6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6934200"/>
          <a:ext cx="1609725" cy="428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Esther Elena Osorio Florez" refreshedDate="44706.60855740741" createdVersion="4" refreshedVersion="7" minRefreshableVersion="3" recordCount="7" xr:uid="{00000000-000A-0000-FFFF-FFFF3C000000}">
  <cacheSource type="worksheet">
    <worksheetSource ref="B10:F17" sheet="Ev. Financiera"/>
  </cacheSource>
  <cacheFields count="5">
    <cacheField name="# Prop." numFmtId="0">
      <sharedItems containsSemiMixedTypes="0" containsString="0" containsNumber="1" containsInteger="1" minValue="1" maxValue="7" count="7">
        <n v="1"/>
        <n v="2"/>
        <n v="3"/>
        <n v="4"/>
        <n v="5"/>
        <n v="6"/>
        <n v="7"/>
      </sharedItems>
    </cacheField>
    <cacheField name="Nombre" numFmtId="0">
      <sharedItems/>
    </cacheField>
    <cacheField name="Oferta Económica" numFmtId="165">
      <sharedItems containsSemiMixedTypes="0" containsString="0" containsNumber="1" minValue="1518929275199.8955" maxValue="1723804793200.0076"/>
    </cacheField>
    <cacheField name="Habil" numFmtId="165">
      <sharedItems count="2">
        <s v="SI"/>
        <s v="NO" u="1"/>
      </sharedItems>
    </cacheField>
    <cacheField name="Oferta hábil NO rechazada" numFmtId="165">
      <sharedItems count="3">
        <s v="SI"/>
        <e v="#DIV/0!" u="1"/>
        <s v="NO"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Esther Elena Osorio Florez" refreshedDate="44706.61013645833" createdVersion="4" refreshedVersion="7" minRefreshableVersion="3" recordCount="7" xr:uid="{00000000-000A-0000-FFFF-FFFF3F000000}">
  <cacheSource type="worksheet">
    <worksheetSource ref="B7:I14" sheet="Resultados"/>
  </cacheSource>
  <cacheFields count="8">
    <cacheField name="# Prop." numFmtId="0">
      <sharedItems containsSemiMixedTypes="0" containsString="0" containsNumber="1" containsInteger="1" minValue="1" maxValue="7"/>
    </cacheField>
    <cacheField name="Nombre" numFmtId="0">
      <sharedItems count="11">
        <s v="ESTRUCTURA PLURAL NUEVO MAGDALENA NO. 1"/>
        <s v="ESTRUCTURA PLURAL VALLE DEL RIO 1"/>
        <s v="ESTRUCTURA PLURAL  RUTA AL MAGDALENA PTO SALGAR BARRANCABERMEJA"/>
        <s v="ESTRUCTURA PLURAL AUTOPISTA MAGDALENA MEDIO "/>
        <s v="ESTRUCTURA PLURAL  DEL RIO GRANDE 1"/>
        <s v="ESTRUCTURA PLURAL TRONCAL DEL MAGDALENA "/>
        <s v="SACYR CONCESIONES"/>
        <s v="ESTRUCTURA PLURAL VIALES DEL NORTE" u="1"/>
        <s v="ESTRUCTURA PLURAL RUTA BOGOTÁ NORTE" u="1"/>
        <s v="ESTRUCTURA PLURAL RUTAS DE LA SABANA " u="1"/>
        <s v="SACYR CONCESIONES COLOMBIA S.A.S" u="1"/>
      </sharedItems>
    </cacheField>
    <cacheField name="Oferta económica" numFmtId="169">
      <sharedItems containsSemiMixedTypes="0" containsString="0" containsNumber="1" minValue="734.4640447790174" maxValue="800"/>
    </cacheField>
    <cacheField name="Mano de obra local" numFmtId="41">
      <sharedItems containsSemiMixedTypes="0" containsString="0" containsNumber="1" containsInteger="1" minValue="50" maxValue="50"/>
    </cacheField>
    <cacheField name="Apoyo a la industria nacional" numFmtId="41">
      <sharedItems containsSemiMixedTypes="0" containsString="0" containsNumber="1" containsInteger="1" minValue="0" maxValue="100"/>
    </cacheField>
    <cacheField name="Factor de calidad" numFmtId="41">
      <sharedItems containsSemiMixedTypes="0" containsString="0" containsNumber="1" containsInteger="1" minValue="40" maxValue="40"/>
    </cacheField>
    <cacheField name="Trabajadores discapacidad" numFmtId="41">
      <sharedItems containsSemiMixedTypes="0" containsString="0" containsNumber="1" containsInteger="1" minValue="0" maxValue="10"/>
    </cacheField>
    <cacheField name="Total" numFmtId="169">
      <sharedItems containsSemiMixedTypes="0" containsString="0" containsNumber="1" minValue="835.8413362848778" maxValue="976.0611373882868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7">
  <r>
    <x v="0"/>
    <s v="ESTRUCTURA PLURAL NUEVO MAGDALENA NO. 1"/>
    <n v="1701145734944.6765"/>
    <x v="0"/>
    <x v="0"/>
  </r>
  <r>
    <x v="1"/>
    <s v="ESTRUCTURA PLURAL VALLE DEL RIO 1"/>
    <n v="1530089321193.1951"/>
    <x v="0"/>
    <x v="0"/>
  </r>
  <r>
    <x v="2"/>
    <s v="ESTRUCTURA PLURAL  RUTA AL MAGDALENA PTO SALGAR BARRANCABERMEJA"/>
    <n v="1723804793200.0076"/>
    <x v="0"/>
    <x v="0"/>
  </r>
  <r>
    <x v="3"/>
    <s v="ESTRUCTURA PLURAL AUTOPISTA MAGDALENA MEDIO "/>
    <n v="1545606396102.4316"/>
    <x v="0"/>
    <x v="0"/>
  </r>
  <r>
    <x v="4"/>
    <s v="ESTRUCTURA PLURAL  DEL RIO GRANDE 1"/>
    <n v="1534770230438.9478"/>
    <x v="0"/>
    <x v="0"/>
  </r>
  <r>
    <x v="5"/>
    <s v="ESTRUCTURA PLURAL TRONCAL DEL MAGDALENA "/>
    <n v="1612220678466.6133"/>
    <x v="0"/>
    <x v="0"/>
  </r>
  <r>
    <x v="6"/>
    <s v="SACYR CONCESIONES"/>
    <n v="1518929275199.8955"/>
    <x v="0"/>
    <x v="0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7">
  <r>
    <n v="1"/>
    <x v="0"/>
    <n v="745.8413362848778"/>
    <n v="50"/>
    <n v="0"/>
    <n v="40"/>
    <n v="0"/>
    <n v="835.8413362848778"/>
  </r>
  <r>
    <n v="2"/>
    <x v="1"/>
    <n v="768.2698919370722"/>
    <n v="50"/>
    <n v="100"/>
    <n v="40"/>
    <n v="10"/>
    <n v="968.2698919370722"/>
  </r>
  <r>
    <n v="3"/>
    <x v="2"/>
    <n v="734.4640447790174"/>
    <n v="50"/>
    <n v="100"/>
    <n v="40"/>
    <n v="10"/>
    <n v="934.4640447790174"/>
  </r>
  <r>
    <n v="4"/>
    <x v="3"/>
    <n v="776.06113738828685"/>
    <n v="50"/>
    <n v="100"/>
    <n v="40"/>
    <n v="10"/>
    <n v="976.06113738828685"/>
  </r>
  <r>
    <n v="5"/>
    <x v="4"/>
    <n v="770.62021331412575"/>
    <n v="50"/>
    <n v="100"/>
    <n v="40"/>
    <n v="10"/>
    <n v="970.62021331412575"/>
  </r>
  <r>
    <n v="6"/>
    <x v="5"/>
    <n v="800"/>
    <n v="50"/>
    <n v="0"/>
    <n v="40"/>
    <n v="10"/>
    <n v="900"/>
  </r>
  <r>
    <n v="7"/>
    <x v="6"/>
    <n v="762.66634499995689"/>
    <n v="50"/>
    <n v="100"/>
    <n v="40"/>
    <n v="10"/>
    <n v="962.66634499995689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A9D2A69-C84B-4551-AA1D-CFDC7E369492}" name="Tabla dinámica1" cacheId="0" applyNumberFormats="0" applyBorderFormats="0" applyFontFormats="0" applyPatternFormats="0" applyAlignmentFormats="0" applyWidthHeightFormats="1" dataCaption="Valores" updatedVersion="7" minRefreshableVersion="3" rowGrandTotals="0" colGrandTotals="0" itemPrintTitles="1" createdVersion="4" indent="0" outline="1" outlineData="1" multipleFieldFilters="0" rowHeaderCaption="Prop.">
  <location ref="C22:D29" firstHeaderRow="1" firstDataRow="1" firstDataCol="1" rowPageCount="1" colPageCount="1"/>
  <pivotFields count="5">
    <pivotField axis="axisRow" showAll="0" sortType="ascending" defaultSubtotal="0">
      <items count="7">
        <item x="0"/>
        <item x="1"/>
        <item x="2"/>
        <item x="3"/>
        <item x="4"/>
        <item x="5"/>
        <item x="6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dataField="1" numFmtId="165" showAll="0"/>
    <pivotField axis="axisPage" multipleItemSelectionAllowed="1" showAll="0">
      <items count="3">
        <item x="0"/>
        <item h="1" m="1" x="1"/>
        <item t="default"/>
      </items>
    </pivotField>
    <pivotField showAll="0"/>
  </pivotFields>
  <rowFields count="1">
    <field x="0"/>
  </rowFields>
  <rowItems count="7">
    <i>
      <x v="6"/>
    </i>
    <i>
      <x v="1"/>
    </i>
    <i>
      <x v="4"/>
    </i>
    <i>
      <x v="3"/>
    </i>
    <i>
      <x v="5"/>
    </i>
    <i>
      <x/>
    </i>
    <i>
      <x v="2"/>
    </i>
  </rowItems>
  <colItems count="1">
    <i/>
  </colItems>
  <pageFields count="1">
    <pageField fld="3" hier="-1"/>
  </pageFields>
  <dataFields count="1">
    <dataField name="Oferta" fld="2" subtotal="average" baseField="0" baseItem="0" numFmtId="167"/>
  </dataFields>
  <formats count="8">
    <format dxfId="13">
      <pivotArea collapsedLevelsAreSubtotals="1" fieldPosition="0">
        <references count="1">
          <reference field="0" count="1">
            <x v="1"/>
          </reference>
        </references>
      </pivotArea>
    </format>
    <format dxfId="12">
      <pivotArea type="all" dataOnly="0" outline="0" fieldPosition="0"/>
    </format>
    <format dxfId="11">
      <pivotArea type="all" dataOnly="0" outline="0" fieldPosition="0"/>
    </format>
    <format dxfId="10">
      <pivotArea dataOnly="0" labelOnly="1" outline="0" axis="axisValues" fieldPosition="0"/>
    </format>
    <format dxfId="9">
      <pivotArea type="all" dataOnly="0" outline="0" fieldPosition="0"/>
    </format>
    <format dxfId="8">
      <pivotArea outline="0" collapsedLevelsAreSubtotals="1" fieldPosition="0"/>
    </format>
    <format dxfId="7">
      <pivotArea type="all" dataOnly="0" outline="0" fieldPosition="0"/>
    </format>
    <format dxfId="6">
      <pivotArea collapsedLevelsAreSubtotals="1" fieldPosition="0">
        <references count="1">
          <reference field="0" count="1">
            <x v="1"/>
          </reference>
        </references>
      </pivotArea>
    </format>
  </formats>
  <pivotTableStyleInfo name="PivotStyleMedium7" showRowHeaders="1" showColHeaders="0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Tabla dinámica1" cacheId="0" applyNumberFormats="0" applyBorderFormats="0" applyFontFormats="0" applyPatternFormats="0" applyAlignmentFormats="0" applyWidthHeightFormats="1" dataCaption="Valores" updatedVersion="7" minRefreshableVersion="3" useAutoFormatting="1" rowGrandTotals="0" colGrandTotals="0" itemPrintTitles="1" createdVersion="4" indent="0" outline="1" outlineData="1" multipleFieldFilters="0" rowHeaderCaption="Prop.">
  <location ref="B5:C12" firstHeaderRow="1" firstDataRow="1" firstDataCol="1" rowPageCount="1" colPageCount="1"/>
  <pivotFields count="5">
    <pivotField axis="axisRow" showAll="0" sortType="ascending" defaultSubtotal="0">
      <items count="7">
        <item x="0"/>
        <item x="1"/>
        <item x="2"/>
        <item x="3"/>
        <item x="4"/>
        <item x="5"/>
        <item x="6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dataField="1" numFmtId="165" showAll="0"/>
    <pivotField showAll="0" defaultSubtotal="0"/>
    <pivotField axis="axisPage" multipleItemSelectionAllowed="1" showAll="0" defaultSubtotal="0">
      <items count="3">
        <item h="1" m="1" x="2"/>
        <item x="0"/>
        <item h="1" m="1" x="1"/>
      </items>
    </pivotField>
  </pivotFields>
  <rowFields count="1">
    <field x="0"/>
  </rowFields>
  <rowItems count="7">
    <i>
      <x v="6"/>
    </i>
    <i>
      <x v="1"/>
    </i>
    <i>
      <x v="4"/>
    </i>
    <i>
      <x v="3"/>
    </i>
    <i>
      <x v="5"/>
    </i>
    <i>
      <x/>
    </i>
    <i>
      <x v="2"/>
    </i>
  </rowItems>
  <colItems count="1">
    <i/>
  </colItems>
  <pageFields count="1">
    <pageField fld="4" hier="-1"/>
  </pageFields>
  <dataFields count="1">
    <dataField name="Suma de Oferta Económica" fld="2" baseField="0" baseItem="0" numFmtId="167"/>
  </dataFields>
  <pivotTableStyleInfo name="PivotStyleMedium7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200-000000000000}" name="Tabla dinámica1" cacheId="0" applyNumberFormats="0" applyBorderFormats="0" applyFontFormats="0" applyPatternFormats="0" applyAlignmentFormats="0" applyWidthHeightFormats="1" dataCaption="Valores" updatedVersion="7" minRefreshableVersion="3" useAutoFormatting="1" rowGrandTotals="0" colGrandTotals="0" itemPrintTitles="1" createdVersion="4" indent="0" outline="1" outlineData="1" multipleFieldFilters="0" rowHeaderCaption="Prop.">
  <location ref="B5:C12" firstHeaderRow="1" firstDataRow="1" firstDataCol="1" rowPageCount="1" colPageCount="1"/>
  <pivotFields count="5">
    <pivotField axis="axisRow" showAll="0" sortType="ascending" defaultSubtotal="0">
      <items count="7">
        <item x="0"/>
        <item x="1"/>
        <item x="2"/>
        <item x="3"/>
        <item x="4"/>
        <item x="5"/>
        <item x="6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dataField="1" numFmtId="165" showAll="0"/>
    <pivotField showAll="0" defaultSubtotal="0"/>
    <pivotField axis="axisPage" multipleItemSelectionAllowed="1" showAll="0" defaultSubtotal="0">
      <items count="3">
        <item h="1" m="1" x="2"/>
        <item x="0"/>
        <item h="1" m="1" x="1"/>
      </items>
    </pivotField>
  </pivotFields>
  <rowFields count="1">
    <field x="0"/>
  </rowFields>
  <rowItems count="7">
    <i>
      <x v="6"/>
    </i>
    <i>
      <x v="1"/>
    </i>
    <i>
      <x v="4"/>
    </i>
    <i>
      <x v="3"/>
    </i>
    <i>
      <x v="5"/>
    </i>
    <i>
      <x/>
    </i>
    <i>
      <x v="2"/>
    </i>
  </rowItems>
  <colItems count="1">
    <i/>
  </colItems>
  <pageFields count="1">
    <pageField fld="4" hier="-1"/>
  </pageFields>
  <dataFields count="1">
    <dataField name="Oferta Econ." fld="2" baseField="0" baseItem="0" numFmtId="167"/>
  </dataFields>
  <pivotTableStyleInfo name="PivotStyleMedium7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300-000000000000}" name="Tabla dinámica1" cacheId="0" applyNumberFormats="0" applyBorderFormats="0" applyFontFormats="0" applyPatternFormats="0" applyAlignmentFormats="0" applyWidthHeightFormats="1" dataCaption="Valores" updatedVersion="7" minRefreshableVersion="3" useAutoFormatting="1" rowGrandTotals="0" colGrandTotals="0" itemPrintTitles="1" createdVersion="4" indent="0" outline="1" outlineData="1" multipleFieldFilters="0">
  <location ref="B5:C12" firstHeaderRow="1" firstDataRow="1" firstDataCol="1" rowPageCount="1" colPageCount="1"/>
  <pivotFields count="5">
    <pivotField axis="axisRow" showAll="0" sortType="ascending" defaultSubtotal="0">
      <items count="7">
        <item x="0"/>
        <item x="1"/>
        <item x="2"/>
        <item x="3"/>
        <item x="4"/>
        <item x="5"/>
        <item x="6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dataField="1" numFmtId="165" showAll="0"/>
    <pivotField showAll="0" defaultSubtotal="0"/>
    <pivotField axis="axisPage" multipleItemSelectionAllowed="1" showAll="0" defaultSubtotal="0">
      <items count="3">
        <item h="1" m="1" x="2"/>
        <item x="0"/>
        <item h="1" m="1" x="1"/>
      </items>
    </pivotField>
  </pivotFields>
  <rowFields count="1">
    <field x="0"/>
  </rowFields>
  <rowItems count="7">
    <i>
      <x v="6"/>
    </i>
    <i>
      <x v="1"/>
    </i>
    <i>
      <x v="4"/>
    </i>
    <i>
      <x v="3"/>
    </i>
    <i>
      <x v="5"/>
    </i>
    <i>
      <x/>
    </i>
    <i>
      <x v="2"/>
    </i>
  </rowItems>
  <colItems count="1">
    <i/>
  </colItems>
  <pageFields count="1">
    <pageField fld="4" hier="-1"/>
  </pageFields>
  <dataFields count="1">
    <dataField name="Oferta Econ." fld="2" baseField="0" baseItem="0" numFmtId="167"/>
  </dataFields>
  <pivotTableStyleInfo name="PivotStyleMedium7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400-000000000000}" name="Tabla dinámica1" cacheId="0" applyNumberFormats="0" applyBorderFormats="0" applyFontFormats="0" applyPatternFormats="0" applyAlignmentFormats="0" applyWidthHeightFormats="1" dataCaption="Valores" updatedVersion="7" minRefreshableVersion="3" useAutoFormatting="1" rowGrandTotals="0" colGrandTotals="0" itemPrintTitles="1" createdVersion="4" indent="0" outline="1" outlineData="1" multipleFieldFilters="0">
  <location ref="B5:C12" firstHeaderRow="1" firstDataRow="1" firstDataCol="1" rowPageCount="1" colPageCount="1"/>
  <pivotFields count="5">
    <pivotField axis="axisRow" showAll="0" sortType="ascending" defaultSubtotal="0">
      <items count="7">
        <item x="0"/>
        <item x="1"/>
        <item x="2"/>
        <item x="3"/>
        <item x="4"/>
        <item x="5"/>
        <item x="6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dataField="1" numFmtId="165" showAll="0"/>
    <pivotField showAll="0" defaultSubtotal="0"/>
    <pivotField axis="axisPage" multipleItemSelectionAllowed="1" showAll="0" defaultSubtotal="0">
      <items count="3">
        <item h="1" m="1" x="2"/>
        <item x="0"/>
        <item h="1" m="1" x="1"/>
      </items>
    </pivotField>
  </pivotFields>
  <rowFields count="1">
    <field x="0"/>
  </rowFields>
  <rowItems count="7">
    <i>
      <x v="6"/>
    </i>
    <i>
      <x v="1"/>
    </i>
    <i>
      <x v="4"/>
    </i>
    <i>
      <x v="3"/>
    </i>
    <i>
      <x v="5"/>
    </i>
    <i>
      <x/>
    </i>
    <i>
      <x v="2"/>
    </i>
  </rowItems>
  <colItems count="1">
    <i/>
  </colItems>
  <pageFields count="1">
    <pageField fld="4" hier="-1"/>
  </pageFields>
  <dataFields count="1">
    <dataField name="Oferta Econ." fld="2" baseField="0" baseItem="0" numFmtId="167"/>
  </dataFields>
  <pivotTableStyleInfo name="PivotStyleMedium7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6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500-000000000000}" name="Tabla dinámica1" cacheId="1" applyNumberFormats="0" applyBorderFormats="0" applyFontFormats="0" applyPatternFormats="0" applyAlignmentFormats="0" applyWidthHeightFormats="1" dataCaption="Valores" updatedVersion="7" minRefreshableVersion="3" useAutoFormatting="1" rowGrandTotals="0" colGrandTotals="0" itemPrintTitles="1" createdVersion="4" indent="0" outline="1" outlineData="1" multipleFieldFilters="0" rowHeaderCaption="Nombre">
  <location ref="C17:D24" firstHeaderRow="1" firstDataRow="1" firstDataCol="1"/>
  <pivotFields count="8">
    <pivotField showAll="0"/>
    <pivotField axis="axisRow" showAll="0" sortType="descending">
      <items count="12">
        <item m="1" x="10"/>
        <item m="1" x="7"/>
        <item m="1" x="9"/>
        <item m="1" x="8"/>
        <item x="0"/>
        <item x="1"/>
        <item x="2"/>
        <item x="3"/>
        <item x="4"/>
        <item x="5"/>
        <item x="6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numFmtId="169" showAll="0"/>
    <pivotField numFmtId="168" showAll="0"/>
    <pivotField numFmtId="168" showAll="0"/>
    <pivotField numFmtId="168" showAll="0"/>
    <pivotField numFmtId="168" showAll="0"/>
    <pivotField dataField="1" numFmtId="169" showAll="0"/>
  </pivotFields>
  <rowFields count="1">
    <field x="1"/>
  </rowFields>
  <rowItems count="7">
    <i>
      <x v="7"/>
    </i>
    <i>
      <x v="8"/>
    </i>
    <i>
      <x v="5"/>
    </i>
    <i>
      <x v="10"/>
    </i>
    <i>
      <x v="6"/>
    </i>
    <i>
      <x v="9"/>
    </i>
    <i>
      <x v="4"/>
    </i>
  </rowItems>
  <colItems count="1">
    <i/>
  </colItems>
  <dataFields count="1">
    <dataField name="Puntaje Total" fld="7" baseField="0" baseItem="0" numFmtId="169"/>
  </dataFields>
  <formats count="6">
    <format dxfId="5">
      <pivotArea type="all" dataOnly="0" outline="0" fieldPosition="0"/>
    </format>
    <format dxfId="4">
      <pivotArea outline="0" collapsedLevelsAreSubtotals="1" fieldPosition="0"/>
    </format>
    <format dxfId="3">
      <pivotArea type="all" dataOnly="0" outline="0" fieldPosition="0"/>
    </format>
    <format dxfId="2">
      <pivotArea outline="0" collapsedLevelsAreSubtotals="1" fieldPosition="0"/>
    </format>
    <format dxfId="1">
      <pivotArea dataOnly="0" labelOnly="1" fieldPosition="0">
        <references count="1">
          <reference field="1" count="0"/>
        </references>
      </pivotArea>
    </format>
    <format dxfId="0">
      <pivotArea dataOnly="0" fieldPosition="0">
        <references count="1">
          <reference field="1" count="0"/>
        </references>
      </pivotArea>
    </format>
  </formats>
  <pivotTableStyleInfo name="PivotStyleMedium10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superfinanciera.gov.co/inicio/informes-y-cifras/cifras/establecimientos-de-credito/informacion-periodica/diaria/tasa-de-cambio-representativa-del-mercado-trm-60819" TargetMode="External"/><Relationship Id="rId1" Type="http://schemas.openxmlformats.org/officeDocument/2006/relationships/pivotTable" Target="../pivotTables/pivotTable1.xm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ivotTable" Target="../pivotTables/pivotTable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5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6DFC88-23FB-43CD-8D17-69FE1510B358}">
  <dimension ref="B3:K47"/>
  <sheetViews>
    <sheetView showGridLines="0" topLeftCell="A4" zoomScale="95" zoomScaleNormal="95" workbookViewId="0">
      <pane xSplit="3" ySplit="3" topLeftCell="D43" activePane="bottomRight" state="frozen"/>
      <selection activeCell="A4" sqref="A4"/>
      <selection pane="topRight" activeCell="D4" sqref="D4"/>
      <selection pane="bottomLeft" activeCell="A7" sqref="A7"/>
      <selection pane="bottomRight" activeCell="J26" sqref="J26"/>
    </sheetView>
  </sheetViews>
  <sheetFormatPr baseColWidth="10" defaultRowHeight="15.75" x14ac:dyDescent="0.25"/>
  <cols>
    <col min="1" max="1" width="3.375" customWidth="1"/>
    <col min="2" max="2" width="14.25" customWidth="1"/>
    <col min="3" max="3" width="19.25" bestFit="1" customWidth="1"/>
    <col min="4" max="4" width="3.75" customWidth="1"/>
    <col min="5" max="5" width="21.875" bestFit="1" customWidth="1"/>
    <col min="6" max="6" width="18.125" customWidth="1"/>
    <col min="7" max="7" width="18.875" bestFit="1" customWidth="1"/>
    <col min="8" max="8" width="18.125" customWidth="1"/>
    <col min="9" max="9" width="18.875" bestFit="1" customWidth="1"/>
    <col min="10" max="11" width="17.75" bestFit="1" customWidth="1"/>
  </cols>
  <sheetData>
    <row r="3" spans="2:11" x14ac:dyDescent="0.25">
      <c r="B3" s="6" t="s">
        <v>59</v>
      </c>
    </row>
    <row r="4" spans="2:11" x14ac:dyDescent="0.25">
      <c r="B4" s="16" t="s">
        <v>79</v>
      </c>
      <c r="F4" s="57"/>
      <c r="G4" s="57"/>
      <c r="H4" s="57"/>
      <c r="I4" s="57"/>
      <c r="J4" s="57"/>
      <c r="K4" s="57"/>
    </row>
    <row r="6" spans="2:11" x14ac:dyDescent="0.25">
      <c r="B6" s="54" t="s">
        <v>80</v>
      </c>
      <c r="C6" s="54" t="s">
        <v>81</v>
      </c>
      <c r="E6" s="54" t="s">
        <v>82</v>
      </c>
      <c r="F6" s="54" t="s">
        <v>83</v>
      </c>
      <c r="G6" s="54" t="s">
        <v>84</v>
      </c>
      <c r="H6" s="54" t="s">
        <v>85</v>
      </c>
      <c r="I6" s="54" t="s">
        <v>86</v>
      </c>
      <c r="J6" s="54" t="s">
        <v>87</v>
      </c>
      <c r="K6" s="54" t="s">
        <v>88</v>
      </c>
    </row>
    <row r="7" spans="2:11" x14ac:dyDescent="0.25">
      <c r="B7" s="55">
        <v>2023</v>
      </c>
      <c r="C7" s="56">
        <v>171756082009.38953</v>
      </c>
      <c r="E7" s="56">
        <v>157156815039</v>
      </c>
      <c r="F7" s="56">
        <v>171756082009</v>
      </c>
      <c r="G7" s="56">
        <v>171756082009</v>
      </c>
      <c r="H7" s="56">
        <v>171756082009</v>
      </c>
      <c r="I7" s="56">
        <v>171756082009</v>
      </c>
      <c r="J7" s="56">
        <v>171756082009</v>
      </c>
      <c r="K7" s="56">
        <v>171756082009</v>
      </c>
    </row>
    <row r="8" spans="2:11" x14ac:dyDescent="0.25">
      <c r="B8" s="55">
        <f>+B7+1</f>
        <v>2024</v>
      </c>
      <c r="C8" s="56">
        <v>250720000000</v>
      </c>
      <c r="E8" s="56">
        <v>229408800000</v>
      </c>
      <c r="F8" s="56">
        <v>250720000000</v>
      </c>
      <c r="G8" s="56">
        <v>250720000000</v>
      </c>
      <c r="H8" s="56">
        <v>250720000000</v>
      </c>
      <c r="I8" s="56">
        <v>250720000000</v>
      </c>
      <c r="J8" s="56">
        <v>250720000000</v>
      </c>
      <c r="K8" s="56">
        <v>250720000000</v>
      </c>
    </row>
    <row r="9" spans="2:11" x14ac:dyDescent="0.25">
      <c r="B9" s="55">
        <f t="shared" ref="B9:B15" si="0">+B8+1</f>
        <v>2025</v>
      </c>
      <c r="C9" s="56">
        <v>250720000000</v>
      </c>
      <c r="E9" s="56">
        <v>229408800000</v>
      </c>
      <c r="F9" s="56">
        <v>179264800000</v>
      </c>
      <c r="G9" s="56">
        <v>250720000000</v>
      </c>
      <c r="H9" s="56">
        <v>250720000000</v>
      </c>
      <c r="I9" s="56">
        <v>250720000000</v>
      </c>
      <c r="J9" s="56">
        <v>250720000000</v>
      </c>
      <c r="K9" s="56">
        <v>250720000000</v>
      </c>
    </row>
    <row r="10" spans="2:11" x14ac:dyDescent="0.25">
      <c r="B10" s="55">
        <f t="shared" si="0"/>
        <v>2026</v>
      </c>
      <c r="C10" s="56">
        <v>250720000000</v>
      </c>
      <c r="E10" s="56">
        <v>229408800000</v>
      </c>
      <c r="F10" s="56">
        <v>182407936305</v>
      </c>
      <c r="G10" s="56">
        <v>250720000000</v>
      </c>
      <c r="H10" s="56">
        <v>250720000000</v>
      </c>
      <c r="I10" s="56">
        <v>250720000000</v>
      </c>
      <c r="J10" s="56">
        <v>250720000000</v>
      </c>
      <c r="K10" s="56">
        <v>250720000000</v>
      </c>
    </row>
    <row r="11" spans="2:11" x14ac:dyDescent="0.25">
      <c r="B11" s="55">
        <f t="shared" si="0"/>
        <v>2027</v>
      </c>
      <c r="C11" s="56">
        <v>250720000000</v>
      </c>
      <c r="E11" s="56">
        <v>250720000000</v>
      </c>
      <c r="F11" s="56">
        <v>185551072610</v>
      </c>
      <c r="G11" s="56">
        <v>250720000000</v>
      </c>
      <c r="H11" s="56">
        <v>250720000000</v>
      </c>
      <c r="I11" s="56">
        <v>250720000000</v>
      </c>
      <c r="J11" s="56">
        <v>250720000000</v>
      </c>
      <c r="K11" s="56">
        <v>250720000000</v>
      </c>
    </row>
    <row r="12" spans="2:11" x14ac:dyDescent="0.25">
      <c r="B12" s="55">
        <f t="shared" si="0"/>
        <v>2028</v>
      </c>
      <c r="C12" s="56">
        <v>250720000000</v>
      </c>
      <c r="E12" s="56">
        <v>250720000000</v>
      </c>
      <c r="F12" s="56">
        <v>188694208914</v>
      </c>
      <c r="G12" s="56">
        <v>250720000000</v>
      </c>
      <c r="H12" s="56">
        <v>250720000000</v>
      </c>
      <c r="I12" s="56">
        <v>150432000000</v>
      </c>
      <c r="J12" s="56">
        <v>250720000000</v>
      </c>
      <c r="K12" s="56">
        <v>250720000000</v>
      </c>
    </row>
    <row r="13" spans="2:11" x14ac:dyDescent="0.25">
      <c r="B13" s="55">
        <f t="shared" si="0"/>
        <v>2029</v>
      </c>
      <c r="C13" s="56">
        <v>250720000000</v>
      </c>
      <c r="E13" s="56">
        <v>250720000000</v>
      </c>
      <c r="F13" s="56">
        <v>191837345219</v>
      </c>
      <c r="G13" s="56">
        <v>250720000000</v>
      </c>
      <c r="H13" s="56">
        <v>250720000000</v>
      </c>
      <c r="I13" s="56">
        <v>194984944000</v>
      </c>
      <c r="J13" s="56">
        <v>250720000000</v>
      </c>
      <c r="K13" s="56">
        <v>250720000000</v>
      </c>
    </row>
    <row r="14" spans="2:11" x14ac:dyDescent="0.25">
      <c r="B14" s="55">
        <f t="shared" si="0"/>
        <v>2030</v>
      </c>
      <c r="C14" s="56">
        <v>227829264000</v>
      </c>
      <c r="E14" s="56">
        <v>227829264000</v>
      </c>
      <c r="F14" s="56">
        <v>194980481524</v>
      </c>
      <c r="G14" s="56">
        <v>210743000000</v>
      </c>
      <c r="H14" s="56">
        <v>227829264000</v>
      </c>
      <c r="I14" s="56">
        <v>177182818613</v>
      </c>
      <c r="J14" s="56">
        <v>227829264000</v>
      </c>
      <c r="K14" s="56">
        <v>152909340026</v>
      </c>
    </row>
    <row r="15" spans="2:11" x14ac:dyDescent="0.25">
      <c r="B15" s="55">
        <f t="shared" si="0"/>
        <v>2031</v>
      </c>
      <c r="C15" s="56">
        <v>227829264000</v>
      </c>
      <c r="E15" s="56">
        <v>227829264000</v>
      </c>
      <c r="F15" s="56">
        <v>198123617829</v>
      </c>
      <c r="G15" s="56">
        <v>210743000000</v>
      </c>
      <c r="H15" s="56">
        <v>227829264000</v>
      </c>
      <c r="I15" s="56">
        <v>177182818613</v>
      </c>
      <c r="J15" s="56">
        <v>227829264000</v>
      </c>
      <c r="K15" s="56">
        <v>148089021600</v>
      </c>
    </row>
    <row r="16" spans="2:11" x14ac:dyDescent="0.25">
      <c r="B16" s="55">
        <f>B15+1</f>
        <v>2032</v>
      </c>
      <c r="C16" s="56">
        <v>227829264000</v>
      </c>
      <c r="E16" s="56">
        <v>227829264000</v>
      </c>
      <c r="F16" s="56">
        <v>201266754134</v>
      </c>
      <c r="G16" s="56">
        <v>210743000000</v>
      </c>
      <c r="H16" s="56">
        <v>227829264000</v>
      </c>
      <c r="I16" s="56">
        <v>177182818613</v>
      </c>
      <c r="J16" s="56">
        <v>227829264000</v>
      </c>
      <c r="K16" s="56">
        <v>148089021600</v>
      </c>
    </row>
    <row r="17" spans="2:11" x14ac:dyDescent="0.25">
      <c r="B17" s="55">
        <f t="shared" ref="B17:B24" si="1">+B16+1</f>
        <v>2033</v>
      </c>
      <c r="C17" s="56">
        <v>227829264000</v>
      </c>
      <c r="E17" s="56">
        <v>227829264000</v>
      </c>
      <c r="F17" s="56">
        <v>204409890438</v>
      </c>
      <c r="G17" s="56">
        <v>210743000000</v>
      </c>
      <c r="H17" s="56">
        <v>227829264000</v>
      </c>
      <c r="I17" s="56">
        <v>177182818613</v>
      </c>
      <c r="J17" s="56">
        <v>227829264000</v>
      </c>
      <c r="K17" s="56">
        <v>148089021600</v>
      </c>
    </row>
    <row r="18" spans="2:11" x14ac:dyDescent="0.25">
      <c r="B18" s="55">
        <f t="shared" si="1"/>
        <v>2034</v>
      </c>
      <c r="C18" s="56">
        <v>227829264000</v>
      </c>
      <c r="E18" s="56">
        <v>227829264000</v>
      </c>
      <c r="F18" s="56">
        <v>207553026743</v>
      </c>
      <c r="G18" s="56">
        <v>210743000000</v>
      </c>
      <c r="H18" s="56">
        <v>113914632000</v>
      </c>
      <c r="I18" s="56">
        <v>177182818613</v>
      </c>
      <c r="J18" s="56">
        <v>227829264000</v>
      </c>
      <c r="K18" s="56">
        <v>148089021600</v>
      </c>
    </row>
    <row r="19" spans="2:11" x14ac:dyDescent="0.25">
      <c r="B19" s="55">
        <f t="shared" si="1"/>
        <v>2035</v>
      </c>
      <c r="C19" s="56">
        <v>227829264000</v>
      </c>
      <c r="E19" s="56">
        <v>227829264000</v>
      </c>
      <c r="F19" s="56">
        <v>210696163048</v>
      </c>
      <c r="G19" s="56">
        <v>210743000000</v>
      </c>
      <c r="H19" s="56">
        <v>113914632000</v>
      </c>
      <c r="I19" s="56">
        <v>177182818613</v>
      </c>
      <c r="J19" s="56">
        <v>227829264000</v>
      </c>
      <c r="K19" s="56">
        <v>148089021600</v>
      </c>
    </row>
    <row r="20" spans="2:11" x14ac:dyDescent="0.25">
      <c r="B20" s="55">
        <f t="shared" si="1"/>
        <v>2036</v>
      </c>
      <c r="C20" s="56">
        <v>227829264000</v>
      </c>
      <c r="E20" s="56">
        <v>227829264000</v>
      </c>
      <c r="F20" s="56">
        <v>213839299353</v>
      </c>
      <c r="G20" s="56">
        <v>210743000000</v>
      </c>
      <c r="H20" s="56">
        <v>113914632000</v>
      </c>
      <c r="I20" s="56">
        <v>177182818613</v>
      </c>
      <c r="J20" s="56">
        <v>227829264000</v>
      </c>
      <c r="K20" s="56">
        <v>148089021600</v>
      </c>
    </row>
    <row r="21" spans="2:11" x14ac:dyDescent="0.25">
      <c r="B21" s="55">
        <f t="shared" si="1"/>
        <v>2037</v>
      </c>
      <c r="C21" s="56">
        <v>227829264000</v>
      </c>
      <c r="E21" s="56">
        <v>227829264000</v>
      </c>
      <c r="F21" s="56">
        <v>216982435657</v>
      </c>
      <c r="G21" s="56">
        <v>210743000000</v>
      </c>
      <c r="H21" s="56">
        <v>113914632000</v>
      </c>
      <c r="I21" s="56">
        <v>177182818613</v>
      </c>
      <c r="J21" s="56">
        <v>125518796930</v>
      </c>
      <c r="K21" s="56">
        <v>148089021600</v>
      </c>
    </row>
    <row r="22" spans="2:11" x14ac:dyDescent="0.25">
      <c r="B22" s="55">
        <f t="shared" si="1"/>
        <v>2038</v>
      </c>
      <c r="C22" s="56">
        <v>227829264000</v>
      </c>
      <c r="E22" s="56">
        <v>227829264000</v>
      </c>
      <c r="F22" s="56">
        <v>220125571962</v>
      </c>
      <c r="G22" s="56">
        <v>210743000000</v>
      </c>
      <c r="H22" s="56">
        <v>57982547688</v>
      </c>
      <c r="I22" s="56">
        <v>177182818613</v>
      </c>
      <c r="J22" s="56">
        <v>0</v>
      </c>
      <c r="K22" s="56">
        <v>148089021600</v>
      </c>
    </row>
    <row r="23" spans="2:11" x14ac:dyDescent="0.25">
      <c r="B23" s="55">
        <f t="shared" si="1"/>
        <v>2039</v>
      </c>
      <c r="C23" s="56">
        <v>227829264000</v>
      </c>
      <c r="E23" s="56">
        <v>227829264000</v>
      </c>
      <c r="F23" s="56">
        <v>223268708267</v>
      </c>
      <c r="G23" s="56">
        <v>210743000000</v>
      </c>
      <c r="H23" s="56">
        <v>56957316000</v>
      </c>
      <c r="I23" s="56">
        <v>177182818613</v>
      </c>
      <c r="J23" s="56">
        <v>0</v>
      </c>
      <c r="K23" s="56">
        <v>148089021600</v>
      </c>
    </row>
    <row r="24" spans="2:11" x14ac:dyDescent="0.25">
      <c r="B24" s="55">
        <f t="shared" si="1"/>
        <v>2040</v>
      </c>
      <c r="C24" s="56">
        <v>227829264000</v>
      </c>
      <c r="E24" s="56">
        <v>91131705600</v>
      </c>
      <c r="F24" s="56">
        <v>226411844572</v>
      </c>
      <c r="G24" s="56">
        <v>205581400891</v>
      </c>
      <c r="H24" s="56">
        <v>56957316000</v>
      </c>
      <c r="I24" s="56">
        <v>177182818613</v>
      </c>
      <c r="J24" s="56">
        <v>0</v>
      </c>
      <c r="K24" s="56">
        <v>148089021600</v>
      </c>
    </row>
    <row r="26" spans="2:11" x14ac:dyDescent="0.25">
      <c r="B26" s="55" t="s">
        <v>89</v>
      </c>
      <c r="C26" s="56">
        <f>(NPV((1+0.6865%)^12-1,C7:C24)/((1+0.6865%)^24))</f>
        <v>1781526243490.5117</v>
      </c>
      <c r="E26" s="56">
        <f>(NPV((1+0.6865%)^12-1,E7:E24)/((1+0.6865%)^24))</f>
        <v>1701145734944.6765</v>
      </c>
      <c r="F26" s="56">
        <f t="shared" ref="F26:K26" si="2">(NPV((1+0.6865%)^12-1,F7:F24)/((1+0.6865%)^24))</f>
        <v>1530089321193.1951</v>
      </c>
      <c r="G26" s="56">
        <f t="shared" si="2"/>
        <v>1723804793200.0076</v>
      </c>
      <c r="H26" s="56">
        <f t="shared" si="2"/>
        <v>1545606396102.4316</v>
      </c>
      <c r="I26" s="56">
        <f t="shared" si="2"/>
        <v>1534770230438.9478</v>
      </c>
      <c r="J26" s="56">
        <f t="shared" si="2"/>
        <v>1612220678466.6133</v>
      </c>
      <c r="K26" s="56">
        <f t="shared" si="2"/>
        <v>1518929275199.8955</v>
      </c>
    </row>
    <row r="27" spans="2:11" x14ac:dyDescent="0.25">
      <c r="B27" s="55" t="s">
        <v>90</v>
      </c>
      <c r="C27" s="56"/>
      <c r="E27" s="56" t="str">
        <f>IF(SUM(E30:E47)=0,"SI","NO")</f>
        <v>SI</v>
      </c>
      <c r="F27" s="56" t="str">
        <f t="shared" ref="F27:K27" si="3">IF(SUM(F30:F47)=0,"SI","NO")</f>
        <v>SI</v>
      </c>
      <c r="G27" s="56" t="str">
        <f t="shared" si="3"/>
        <v>SI</v>
      </c>
      <c r="H27" s="56" t="str">
        <f t="shared" si="3"/>
        <v>SI</v>
      </c>
      <c r="I27" s="56" t="str">
        <f t="shared" si="3"/>
        <v>SI</v>
      </c>
      <c r="J27" s="56" t="str">
        <f t="shared" si="3"/>
        <v>SI</v>
      </c>
      <c r="K27" s="56" t="str">
        <f t="shared" si="3"/>
        <v>SI</v>
      </c>
    </row>
    <row r="29" spans="2:11" x14ac:dyDescent="0.25">
      <c r="E29" s="54" t="s">
        <v>82</v>
      </c>
      <c r="F29" s="54" t="s">
        <v>83</v>
      </c>
      <c r="G29" s="54" t="s">
        <v>84</v>
      </c>
      <c r="H29" s="54" t="s">
        <v>85</v>
      </c>
      <c r="I29" s="54" t="s">
        <v>86</v>
      </c>
      <c r="J29" s="54" t="s">
        <v>87</v>
      </c>
      <c r="K29" s="54" t="s">
        <v>88</v>
      </c>
    </row>
    <row r="30" spans="2:11" x14ac:dyDescent="0.25">
      <c r="E30" s="58">
        <f>IF(E7&gt;$C7,1,0)</f>
        <v>0</v>
      </c>
      <c r="F30" s="58">
        <f t="shared" ref="F30:K30" si="4">IF(F7&gt;$C7,1,0)</f>
        <v>0</v>
      </c>
      <c r="G30" s="58">
        <f t="shared" si="4"/>
        <v>0</v>
      </c>
      <c r="H30" s="58">
        <f t="shared" si="4"/>
        <v>0</v>
      </c>
      <c r="I30" s="58">
        <f t="shared" si="4"/>
        <v>0</v>
      </c>
      <c r="J30" s="58">
        <f t="shared" si="4"/>
        <v>0</v>
      </c>
      <c r="K30" s="58">
        <f t="shared" si="4"/>
        <v>0</v>
      </c>
    </row>
    <row r="31" spans="2:11" x14ac:dyDescent="0.25">
      <c r="E31" s="58">
        <f t="shared" ref="E31:K31" si="5">IF(E8&gt;$C8,1,0)</f>
        <v>0</v>
      </c>
      <c r="F31" s="58">
        <f t="shared" si="5"/>
        <v>0</v>
      </c>
      <c r="G31" s="58">
        <f t="shared" si="5"/>
        <v>0</v>
      </c>
      <c r="H31" s="58">
        <f t="shared" si="5"/>
        <v>0</v>
      </c>
      <c r="I31" s="58">
        <f t="shared" si="5"/>
        <v>0</v>
      </c>
      <c r="J31" s="58">
        <f t="shared" si="5"/>
        <v>0</v>
      </c>
      <c r="K31" s="58">
        <f t="shared" si="5"/>
        <v>0</v>
      </c>
    </row>
    <row r="32" spans="2:11" x14ac:dyDescent="0.25">
      <c r="E32" s="58">
        <f t="shared" ref="E32:K32" si="6">IF(E9&gt;$C9,1,0)</f>
        <v>0</v>
      </c>
      <c r="F32" s="58">
        <f t="shared" si="6"/>
        <v>0</v>
      </c>
      <c r="G32" s="58">
        <f t="shared" si="6"/>
        <v>0</v>
      </c>
      <c r="H32" s="58">
        <f t="shared" si="6"/>
        <v>0</v>
      </c>
      <c r="I32" s="58">
        <f t="shared" si="6"/>
        <v>0</v>
      </c>
      <c r="J32" s="58">
        <f t="shared" si="6"/>
        <v>0</v>
      </c>
      <c r="K32" s="58">
        <f t="shared" si="6"/>
        <v>0</v>
      </c>
    </row>
    <row r="33" spans="5:11" x14ac:dyDescent="0.25">
      <c r="E33" s="58">
        <f t="shared" ref="E33:K33" si="7">IF(E10&gt;$C10,1,0)</f>
        <v>0</v>
      </c>
      <c r="F33" s="58">
        <f t="shared" si="7"/>
        <v>0</v>
      </c>
      <c r="G33" s="58">
        <f t="shared" si="7"/>
        <v>0</v>
      </c>
      <c r="H33" s="58">
        <f t="shared" si="7"/>
        <v>0</v>
      </c>
      <c r="I33" s="58">
        <f t="shared" si="7"/>
        <v>0</v>
      </c>
      <c r="J33" s="58">
        <f t="shared" si="7"/>
        <v>0</v>
      </c>
      <c r="K33" s="58">
        <f t="shared" si="7"/>
        <v>0</v>
      </c>
    </row>
    <row r="34" spans="5:11" x14ac:dyDescent="0.25">
      <c r="E34" s="58">
        <f t="shared" ref="E34:K34" si="8">IF(E11&gt;$C11,1,0)</f>
        <v>0</v>
      </c>
      <c r="F34" s="58">
        <f t="shared" si="8"/>
        <v>0</v>
      </c>
      <c r="G34" s="58">
        <f t="shared" si="8"/>
        <v>0</v>
      </c>
      <c r="H34" s="58">
        <f t="shared" si="8"/>
        <v>0</v>
      </c>
      <c r="I34" s="58">
        <f t="shared" si="8"/>
        <v>0</v>
      </c>
      <c r="J34" s="58">
        <f t="shared" si="8"/>
        <v>0</v>
      </c>
      <c r="K34" s="58">
        <f t="shared" si="8"/>
        <v>0</v>
      </c>
    </row>
    <row r="35" spans="5:11" x14ac:dyDescent="0.25">
      <c r="E35" s="58">
        <f t="shared" ref="E35:K35" si="9">IF(E12&gt;$C12,1,0)</f>
        <v>0</v>
      </c>
      <c r="F35" s="58">
        <f t="shared" si="9"/>
        <v>0</v>
      </c>
      <c r="G35" s="58">
        <f t="shared" si="9"/>
        <v>0</v>
      </c>
      <c r="H35" s="58">
        <f t="shared" si="9"/>
        <v>0</v>
      </c>
      <c r="I35" s="58">
        <f t="shared" si="9"/>
        <v>0</v>
      </c>
      <c r="J35" s="58">
        <f t="shared" si="9"/>
        <v>0</v>
      </c>
      <c r="K35" s="58">
        <f t="shared" si="9"/>
        <v>0</v>
      </c>
    </row>
    <row r="36" spans="5:11" x14ac:dyDescent="0.25">
      <c r="E36" s="58">
        <f t="shared" ref="E36:K36" si="10">IF(E13&gt;$C13,1,0)</f>
        <v>0</v>
      </c>
      <c r="F36" s="58">
        <f t="shared" si="10"/>
        <v>0</v>
      </c>
      <c r="G36" s="58">
        <f t="shared" si="10"/>
        <v>0</v>
      </c>
      <c r="H36" s="58">
        <f t="shared" si="10"/>
        <v>0</v>
      </c>
      <c r="I36" s="58">
        <f t="shared" si="10"/>
        <v>0</v>
      </c>
      <c r="J36" s="58">
        <f t="shared" si="10"/>
        <v>0</v>
      </c>
      <c r="K36" s="58">
        <f t="shared" si="10"/>
        <v>0</v>
      </c>
    </row>
    <row r="37" spans="5:11" x14ac:dyDescent="0.25">
      <c r="E37" s="58">
        <f t="shared" ref="E37:K37" si="11">IF(E14&gt;$C14,1,0)</f>
        <v>0</v>
      </c>
      <c r="F37" s="58">
        <f t="shared" si="11"/>
        <v>0</v>
      </c>
      <c r="G37" s="58">
        <f t="shared" si="11"/>
        <v>0</v>
      </c>
      <c r="H37" s="58">
        <f t="shared" si="11"/>
        <v>0</v>
      </c>
      <c r="I37" s="58">
        <f t="shared" si="11"/>
        <v>0</v>
      </c>
      <c r="J37" s="58">
        <f t="shared" si="11"/>
        <v>0</v>
      </c>
      <c r="K37" s="58">
        <f t="shared" si="11"/>
        <v>0</v>
      </c>
    </row>
    <row r="38" spans="5:11" x14ac:dyDescent="0.25">
      <c r="E38" s="58">
        <f t="shared" ref="E38:K38" si="12">IF(E15&gt;$C15,1,0)</f>
        <v>0</v>
      </c>
      <c r="F38" s="58">
        <f t="shared" si="12"/>
        <v>0</v>
      </c>
      <c r="G38" s="58">
        <f t="shared" si="12"/>
        <v>0</v>
      </c>
      <c r="H38" s="58">
        <f t="shared" si="12"/>
        <v>0</v>
      </c>
      <c r="I38" s="58">
        <f t="shared" si="12"/>
        <v>0</v>
      </c>
      <c r="J38" s="58">
        <f t="shared" si="12"/>
        <v>0</v>
      </c>
      <c r="K38" s="58">
        <f t="shared" si="12"/>
        <v>0</v>
      </c>
    </row>
    <row r="39" spans="5:11" x14ac:dyDescent="0.25">
      <c r="E39" s="58">
        <f t="shared" ref="E39:K39" si="13">IF(E16&gt;$C16,1,0)</f>
        <v>0</v>
      </c>
      <c r="F39" s="58">
        <f t="shared" si="13"/>
        <v>0</v>
      </c>
      <c r="G39" s="58">
        <f t="shared" si="13"/>
        <v>0</v>
      </c>
      <c r="H39" s="58">
        <f t="shared" si="13"/>
        <v>0</v>
      </c>
      <c r="I39" s="58">
        <f t="shared" si="13"/>
        <v>0</v>
      </c>
      <c r="J39" s="58">
        <f t="shared" si="13"/>
        <v>0</v>
      </c>
      <c r="K39" s="58">
        <f t="shared" si="13"/>
        <v>0</v>
      </c>
    </row>
    <row r="40" spans="5:11" x14ac:dyDescent="0.25">
      <c r="E40" s="58">
        <f t="shared" ref="E40:K40" si="14">IF(E17&gt;$C17,1,0)</f>
        <v>0</v>
      </c>
      <c r="F40" s="58">
        <f t="shared" si="14"/>
        <v>0</v>
      </c>
      <c r="G40" s="58">
        <f t="shared" si="14"/>
        <v>0</v>
      </c>
      <c r="H40" s="58">
        <f t="shared" si="14"/>
        <v>0</v>
      </c>
      <c r="I40" s="58">
        <f t="shared" si="14"/>
        <v>0</v>
      </c>
      <c r="J40" s="58">
        <f t="shared" si="14"/>
        <v>0</v>
      </c>
      <c r="K40" s="58">
        <f t="shared" si="14"/>
        <v>0</v>
      </c>
    </row>
    <row r="41" spans="5:11" x14ac:dyDescent="0.25">
      <c r="E41" s="58">
        <f t="shared" ref="E41:K41" si="15">IF(E18&gt;$C18,1,0)</f>
        <v>0</v>
      </c>
      <c r="F41" s="58">
        <f t="shared" si="15"/>
        <v>0</v>
      </c>
      <c r="G41" s="58">
        <f t="shared" si="15"/>
        <v>0</v>
      </c>
      <c r="H41" s="58">
        <f t="shared" si="15"/>
        <v>0</v>
      </c>
      <c r="I41" s="58">
        <f t="shared" si="15"/>
        <v>0</v>
      </c>
      <c r="J41" s="58">
        <f t="shared" si="15"/>
        <v>0</v>
      </c>
      <c r="K41" s="58">
        <f t="shared" si="15"/>
        <v>0</v>
      </c>
    </row>
    <row r="42" spans="5:11" x14ac:dyDescent="0.25">
      <c r="E42" s="58">
        <f t="shared" ref="E42:K42" si="16">IF(E19&gt;$C19,1,0)</f>
        <v>0</v>
      </c>
      <c r="F42" s="58">
        <f t="shared" si="16"/>
        <v>0</v>
      </c>
      <c r="G42" s="58">
        <f t="shared" si="16"/>
        <v>0</v>
      </c>
      <c r="H42" s="58">
        <f t="shared" si="16"/>
        <v>0</v>
      </c>
      <c r="I42" s="58">
        <f t="shared" si="16"/>
        <v>0</v>
      </c>
      <c r="J42" s="58">
        <f t="shared" si="16"/>
        <v>0</v>
      </c>
      <c r="K42" s="58">
        <f t="shared" si="16"/>
        <v>0</v>
      </c>
    </row>
    <row r="43" spans="5:11" x14ac:dyDescent="0.25">
      <c r="E43" s="58">
        <f t="shared" ref="E43:K43" si="17">IF(E20&gt;$C20,1,0)</f>
        <v>0</v>
      </c>
      <c r="F43" s="58">
        <f t="shared" si="17"/>
        <v>0</v>
      </c>
      <c r="G43" s="58">
        <f t="shared" si="17"/>
        <v>0</v>
      </c>
      <c r="H43" s="58">
        <f t="shared" si="17"/>
        <v>0</v>
      </c>
      <c r="I43" s="58">
        <f t="shared" si="17"/>
        <v>0</v>
      </c>
      <c r="J43" s="58">
        <f t="shared" si="17"/>
        <v>0</v>
      </c>
      <c r="K43" s="58">
        <f t="shared" si="17"/>
        <v>0</v>
      </c>
    </row>
    <row r="44" spans="5:11" x14ac:dyDescent="0.25">
      <c r="E44" s="58">
        <f t="shared" ref="E44:K44" si="18">IF(E21&gt;$C21,1,0)</f>
        <v>0</v>
      </c>
      <c r="F44" s="58">
        <f t="shared" si="18"/>
        <v>0</v>
      </c>
      <c r="G44" s="58">
        <f t="shared" si="18"/>
        <v>0</v>
      </c>
      <c r="H44" s="58">
        <f t="shared" si="18"/>
        <v>0</v>
      </c>
      <c r="I44" s="58">
        <f t="shared" si="18"/>
        <v>0</v>
      </c>
      <c r="J44" s="58">
        <f t="shared" si="18"/>
        <v>0</v>
      </c>
      <c r="K44" s="58">
        <f t="shared" si="18"/>
        <v>0</v>
      </c>
    </row>
    <row r="45" spans="5:11" x14ac:dyDescent="0.25">
      <c r="E45" s="58">
        <f t="shared" ref="E45:K45" si="19">IF(E22&gt;$C22,1,0)</f>
        <v>0</v>
      </c>
      <c r="F45" s="58">
        <f t="shared" si="19"/>
        <v>0</v>
      </c>
      <c r="G45" s="58">
        <f t="shared" si="19"/>
        <v>0</v>
      </c>
      <c r="H45" s="58">
        <f t="shared" si="19"/>
        <v>0</v>
      </c>
      <c r="I45" s="58">
        <f t="shared" si="19"/>
        <v>0</v>
      </c>
      <c r="J45" s="58">
        <f t="shared" si="19"/>
        <v>0</v>
      </c>
      <c r="K45" s="58">
        <f t="shared" si="19"/>
        <v>0</v>
      </c>
    </row>
    <row r="46" spans="5:11" x14ac:dyDescent="0.25">
      <c r="E46" s="58">
        <f t="shared" ref="E46:K46" si="20">IF(E23&gt;$C23,1,0)</f>
        <v>0</v>
      </c>
      <c r="F46" s="58">
        <f t="shared" si="20"/>
        <v>0</v>
      </c>
      <c r="G46" s="58">
        <f t="shared" si="20"/>
        <v>0</v>
      </c>
      <c r="H46" s="58">
        <f t="shared" si="20"/>
        <v>0</v>
      </c>
      <c r="I46" s="58">
        <f t="shared" si="20"/>
        <v>0</v>
      </c>
      <c r="J46" s="58">
        <f t="shared" si="20"/>
        <v>0</v>
      </c>
      <c r="K46" s="58">
        <f t="shared" si="20"/>
        <v>0</v>
      </c>
    </row>
    <row r="47" spans="5:11" x14ac:dyDescent="0.25">
      <c r="E47" s="58">
        <f t="shared" ref="E47:K47" si="21">IF(E24&gt;$C24,1,0)</f>
        <v>0</v>
      </c>
      <c r="F47" s="58">
        <f t="shared" si="21"/>
        <v>0</v>
      </c>
      <c r="G47" s="58">
        <f t="shared" si="21"/>
        <v>0</v>
      </c>
      <c r="H47" s="58">
        <f t="shared" si="21"/>
        <v>0</v>
      </c>
      <c r="I47" s="58">
        <f t="shared" si="21"/>
        <v>0</v>
      </c>
      <c r="J47" s="58">
        <f t="shared" si="21"/>
        <v>0</v>
      </c>
      <c r="K47" s="58">
        <f t="shared" si="21"/>
        <v>0</v>
      </c>
    </row>
  </sheetData>
  <phoneticPr fontId="17" type="noConversion"/>
  <conditionalFormatting sqref="E30:K47">
    <cfRule type="cellIs" dxfId="27" priority="2" operator="equal">
      <formula>1</formula>
    </cfRule>
  </conditionalFormatting>
  <conditionalFormatting sqref="E27:K27">
    <cfRule type="cellIs" dxfId="26" priority="1" operator="equal">
      <formula>"NO"</formula>
    </cfRule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4:J57"/>
  <sheetViews>
    <sheetView showGridLines="0" topLeftCell="B22" zoomScale="90" zoomScaleNormal="90" zoomScalePageLayoutView="120" workbookViewId="0">
      <selection activeCell="C59" sqref="C59"/>
    </sheetView>
  </sheetViews>
  <sheetFormatPr baseColWidth="10" defaultRowHeight="15.75" x14ac:dyDescent="0.25"/>
  <cols>
    <col min="2" max="2" width="7.125" customWidth="1"/>
    <col min="3" max="3" width="63.25" customWidth="1"/>
    <col min="4" max="4" width="24.5" bestFit="1" customWidth="1"/>
    <col min="5" max="5" width="5.5" bestFit="1" customWidth="1"/>
    <col min="6" max="6" width="13" customWidth="1"/>
    <col min="7" max="7" width="17.25" hidden="1" customWidth="1"/>
    <col min="8" max="8" width="17.25" customWidth="1"/>
    <col min="9" max="10" width="17.25" hidden="1" customWidth="1"/>
  </cols>
  <sheetData>
    <row r="4" spans="2:10" x14ac:dyDescent="0.25">
      <c r="B4" s="6" t="s">
        <v>59</v>
      </c>
    </row>
    <row r="5" spans="2:10" x14ac:dyDescent="0.25">
      <c r="B5" s="16" t="s">
        <v>79</v>
      </c>
      <c r="F5" s="62" t="s">
        <v>91</v>
      </c>
      <c r="G5" s="62"/>
      <c r="H5" s="65">
        <v>3971.28</v>
      </c>
    </row>
    <row r="6" spans="2:10" x14ac:dyDescent="0.25">
      <c r="B6" s="16"/>
      <c r="D6" s="44"/>
    </row>
    <row r="7" spans="2:10" ht="21" x14ac:dyDescent="0.35">
      <c r="B7" s="6"/>
      <c r="C7" s="15" t="s">
        <v>46</v>
      </c>
      <c r="D7" s="19">
        <v>1781526243491</v>
      </c>
      <c r="E7" s="20"/>
      <c r="F7" s="20"/>
    </row>
    <row r="8" spans="2:10" ht="21" x14ac:dyDescent="0.35">
      <c r="C8" s="64" t="str">
        <f>C34</f>
        <v>LÍMITE INFERIOR (90%)</v>
      </c>
      <c r="D8" s="63">
        <f>D34</f>
        <v>1413373577288.3223</v>
      </c>
      <c r="G8" s="23" t="s">
        <v>31</v>
      </c>
      <c r="H8" s="13" t="s">
        <v>32</v>
      </c>
      <c r="I8" s="13" t="s">
        <v>33</v>
      </c>
      <c r="J8" s="23" t="s">
        <v>34</v>
      </c>
    </row>
    <row r="9" spans="2:10" ht="31.5" x14ac:dyDescent="0.25">
      <c r="G9" s="18" t="s">
        <v>3</v>
      </c>
      <c r="H9" s="14" t="s">
        <v>4</v>
      </c>
      <c r="I9" s="14" t="s">
        <v>5</v>
      </c>
      <c r="J9" s="18" t="s">
        <v>6</v>
      </c>
    </row>
    <row r="10" spans="2:10" ht="31.5" x14ac:dyDescent="0.25">
      <c r="B10" s="15" t="s">
        <v>35</v>
      </c>
      <c r="C10" s="15" t="s">
        <v>0</v>
      </c>
      <c r="D10" s="15" t="s">
        <v>1</v>
      </c>
      <c r="E10" s="18" t="s">
        <v>50</v>
      </c>
      <c r="F10" s="18" t="s">
        <v>49</v>
      </c>
      <c r="G10" s="23" t="s">
        <v>2</v>
      </c>
      <c r="H10" s="13" t="s">
        <v>7</v>
      </c>
      <c r="I10" s="13" t="s">
        <v>8</v>
      </c>
      <c r="J10" s="23" t="s">
        <v>9</v>
      </c>
    </row>
    <row r="11" spans="2:10" ht="20.100000000000001" customHeight="1" x14ac:dyDescent="0.25">
      <c r="B11" s="47">
        <v>1</v>
      </c>
      <c r="C11" s="47" t="s">
        <v>71</v>
      </c>
      <c r="D11" s="53">
        <f>IF(ofertas!E27="SI",ofertas!E26,"Rechazada")</f>
        <v>1701145734944.6765</v>
      </c>
      <c r="E11" s="49" t="str">
        <f t="shared" ref="E11:E16" si="0">IF(D11&lt;=D$7, "SI","NO")</f>
        <v>SI</v>
      </c>
      <c r="F11" s="49" t="str">
        <f t="shared" ref="F11:F17" si="1">IF(E11="NO","NO",(IF(D11&gt;=D$34,"SI","NO")))</f>
        <v>SI</v>
      </c>
      <c r="G11" s="50">
        <f>IF(OR($E11="NO",$F11="NO"),0,VLOOKUP($B11,'M1'!$B$6:$D$12,3,FALSE))</f>
        <v>719.49342899487499</v>
      </c>
      <c r="H11" s="51">
        <f>IF(OR($E11="NO",$F11="NO"),0,VLOOKUP(B11,'M2'!B$6:D$12,3,FALSE))</f>
        <v>745.8413362848778</v>
      </c>
      <c r="I11" s="51">
        <f>IF(OR($E11="NO",$F11="NO"),0,VLOOKUP(B11,'M3'!B$6:D$12,3,FALSE))</f>
        <v>725.97963829389028</v>
      </c>
      <c r="J11" s="50">
        <f>IF(OR($E11="NO",$F11="NO"),0,VLOOKUP(B11,'M4'!B$6:D$12,3,FALSE))</f>
        <v>714.30883033629948</v>
      </c>
    </row>
    <row r="12" spans="2:10" ht="20.100000000000001" customHeight="1" x14ac:dyDescent="0.25">
      <c r="B12" s="47">
        <v>2</v>
      </c>
      <c r="C12" s="47" t="s">
        <v>72</v>
      </c>
      <c r="D12" s="48">
        <f>IF(ofertas!F27="SI",ofertas!F26,"Rechazada")</f>
        <v>1530089321193.1951</v>
      </c>
      <c r="E12" s="49" t="str">
        <f t="shared" si="0"/>
        <v>SI</v>
      </c>
      <c r="F12" s="49" t="str">
        <f t="shared" si="1"/>
        <v>SI</v>
      </c>
      <c r="G12" s="50">
        <f>IF(OR($E12="NO",$F12="NO"),0,VLOOKUP($B12,'M1'!$B$6:$D$12,3,FALSE))</f>
        <v>791.96842096494106</v>
      </c>
      <c r="H12" s="51">
        <f>IF(OR($E12="NO",$F12="NO"),0,VLOOKUP(B12,'M2'!B$6:D$12,3,FALSE))</f>
        <v>768.2698919370722</v>
      </c>
      <c r="I12" s="51">
        <f>IF(OR($E12="NO",$F12="NO"),0,VLOOKUP(B12,'M3'!B$6:D$12,3,FALSE))</f>
        <v>786.13442368911683</v>
      </c>
      <c r="J12" s="50">
        <f>IF(OR($E12="NO",$F12="NO"),0,VLOOKUP(B12,'M4'!B$6:D$12,3,FALSE))</f>
        <v>794.16502247876792</v>
      </c>
    </row>
    <row r="13" spans="2:10" ht="20.100000000000001" customHeight="1" x14ac:dyDescent="0.25">
      <c r="B13" s="47">
        <v>3</v>
      </c>
      <c r="C13" s="47" t="s">
        <v>78</v>
      </c>
      <c r="D13" s="48">
        <f>IF(ofertas!G27="SI",ofertas!G26,"Rechazada")</f>
        <v>1723804793200.0076</v>
      </c>
      <c r="E13" s="49" t="str">
        <f t="shared" si="0"/>
        <v>SI</v>
      </c>
      <c r="F13" s="49" t="str">
        <f t="shared" si="1"/>
        <v>SI</v>
      </c>
      <c r="G13" s="50">
        <f>IF(OR($E13="NO",$F13="NO"),0,VLOOKUP($B13,'M1'!$B$6:$D$12,3,FALSE))</f>
        <v>707.76518650702258</v>
      </c>
      <c r="H13" s="51">
        <f>IF(OR($E13="NO",$F13="NO"),0,VLOOKUP(B13,'M2'!B$6:D$12,3,FALSE))</f>
        <v>734.4640447790174</v>
      </c>
      <c r="I13" s="51">
        <f>IF(OR($E13="NO",$F13="NO"),0,VLOOKUP(B13,'M3'!B$6:D$12,3,FALSE))</f>
        <v>714.33779134014389</v>
      </c>
      <c r="J13" s="50">
        <f>IF(OR($E13="NO",$F13="NO"),0,VLOOKUP(B13,'M4'!B$6:D$12,3,FALSE))</f>
        <v>704.91938817745665</v>
      </c>
    </row>
    <row r="14" spans="2:10" ht="20.100000000000001" customHeight="1" x14ac:dyDescent="0.25">
      <c r="B14" s="47">
        <v>4</v>
      </c>
      <c r="C14" s="47" t="s">
        <v>74</v>
      </c>
      <c r="D14" s="48">
        <f>IF(ofertas!H27="SI",ofertas!H26,"Rechazada")</f>
        <v>1545606396102.4316</v>
      </c>
      <c r="E14" s="49" t="str">
        <f t="shared" si="0"/>
        <v>SI</v>
      </c>
      <c r="F14" s="49" t="str">
        <f t="shared" si="1"/>
        <v>SI</v>
      </c>
      <c r="G14" s="50">
        <f>IF(OR($E14="NO",$F14="NO"),0,VLOOKUP($B14,'M1'!$B$6:$D$12,3,FALSE))</f>
        <v>800</v>
      </c>
      <c r="H14" s="51">
        <f>IF(OR($E14="NO",$F14="NO"),0,VLOOKUP(B14,'M2'!B$6:D$12,3,FALSE))</f>
        <v>776.06113738828685</v>
      </c>
      <c r="I14" s="51">
        <f>IF(OR($E14="NO",$F14="NO"),0,VLOOKUP(B14,'M3'!B$6:D$12,3,FALSE))</f>
        <v>800</v>
      </c>
      <c r="J14" s="50">
        <f>IF(OR($E14="NO",$F14="NO"),0,VLOOKUP(B14,'M4'!B$6:D$12,3,FALSE))</f>
        <v>786.19202354762092</v>
      </c>
    </row>
    <row r="15" spans="2:10" ht="20.100000000000001" customHeight="1" x14ac:dyDescent="0.25">
      <c r="B15" s="47">
        <v>5</v>
      </c>
      <c r="C15" s="47" t="s">
        <v>75</v>
      </c>
      <c r="D15" s="48">
        <f>IF(ofertas!I27="SI",ofertas!I26,"Rechazada")</f>
        <v>1534770230438.9478</v>
      </c>
      <c r="E15" s="49" t="str">
        <f t="shared" si="0"/>
        <v>SI</v>
      </c>
      <c r="F15" s="49" t="str">
        <f t="shared" si="1"/>
        <v>SI</v>
      </c>
      <c r="G15" s="50">
        <f>IF(OR($E15="NO",$F15="NO"),0,VLOOKUP($B15,'M1'!$B$6:$D$12,3,FALSE))</f>
        <v>794.39124181120906</v>
      </c>
      <c r="H15" s="51">
        <f>IF(OR($E15="NO",$F15="NO"),0,VLOOKUP(B15,'M2'!B$6:D$12,3,FALSE))</f>
        <v>770.62021331412575</v>
      </c>
      <c r="I15" s="51">
        <f>IF(OR($E15="NO",$F15="NO"),0,VLOOKUP(B15,'M3'!B$6:D$12,3,FALSE))</f>
        <v>788.53939694216922</v>
      </c>
      <c r="J15" s="50">
        <f>IF(OR($E15="NO",$F15="NO"),0,VLOOKUP(B15,'M4'!B$6:D$12,3,FALSE))</f>
        <v>791.74289158083468</v>
      </c>
    </row>
    <row r="16" spans="2:10" ht="20.100000000000001" customHeight="1" x14ac:dyDescent="0.25">
      <c r="B16" s="47">
        <v>6</v>
      </c>
      <c r="C16" s="47" t="s">
        <v>76</v>
      </c>
      <c r="D16" s="48">
        <f>IF(ofertas!J27="SI",ofertas!J26,"Rechazada")</f>
        <v>1612220678466.6133</v>
      </c>
      <c r="E16" s="49" t="str">
        <f t="shared" si="0"/>
        <v>SI</v>
      </c>
      <c r="F16" s="49" t="str">
        <f t="shared" si="1"/>
        <v>SI</v>
      </c>
      <c r="G16" s="50">
        <f>IF(OR($E16="NO",$F16="NO"),0,VLOOKUP($B16,'M1'!$B$6:$D$12,3,FALSE))</f>
        <v>765.5207004669943</v>
      </c>
      <c r="H16" s="51">
        <f>IF(OR($E16="NO",$F16="NO"),0,VLOOKUP(B16,'M2'!B$6:D$12,3,FALSE))</f>
        <v>800</v>
      </c>
      <c r="I16" s="51">
        <f>IF(OR($E16="NO",$F16="NO"),0,VLOOKUP(B16,'M3'!B$6:D$12,3,FALSE))</f>
        <v>771.66785208482725</v>
      </c>
      <c r="J16" s="50">
        <f>IF(OR($E16="NO",$F16="NO"),0,VLOOKUP(B16,'M4'!B$6:D$12,3,FALSE))</f>
        <v>753.70787410793048</v>
      </c>
    </row>
    <row r="17" spans="2:10" ht="20.100000000000001" customHeight="1" x14ac:dyDescent="0.25">
      <c r="B17" s="47">
        <v>7</v>
      </c>
      <c r="C17" s="47" t="s">
        <v>77</v>
      </c>
      <c r="D17" s="48">
        <f>IF(ofertas!K27="SI",ofertas!K26,"Rechazada")</f>
        <v>1518929275199.8955</v>
      </c>
      <c r="E17" s="49" t="str">
        <f t="shared" ref="E17" si="2">IF(D17&lt;=D$7, "SI","NO")</f>
        <v>SI</v>
      </c>
      <c r="F17" s="49" t="str">
        <f t="shared" si="1"/>
        <v>SI</v>
      </c>
      <c r="G17" s="50">
        <f>IF(OR($E17="NO",$F17="NO"),0,VLOOKUP($B17,'M1'!$B$6:$D$12,3,FALSE))</f>
        <v>786.19202354762092</v>
      </c>
      <c r="H17" s="51">
        <f>IF(OR($E17="NO",$F17="NO"),0,VLOOKUP(B17,'M2'!B$6:D$12,3,FALSE))</f>
        <v>762.66634499995689</v>
      </c>
      <c r="I17" s="51">
        <f>IF(OR($E17="NO",$F17="NO"),0,VLOOKUP(B17,'M3'!B$6:D$12,3,FALSE))</f>
        <v>780.40057782550082</v>
      </c>
      <c r="J17" s="50">
        <f>IF(OR($E17="NO",$F17="NO"),0,VLOOKUP(B17,'M4'!B$6:D$12,3,FALSE))</f>
        <v>800</v>
      </c>
    </row>
    <row r="18" spans="2:10" ht="21" customHeight="1" x14ac:dyDescent="0.25">
      <c r="B18" s="33"/>
      <c r="C18" s="33"/>
      <c r="D18" s="29"/>
      <c r="E18" s="30"/>
      <c r="F18" s="30"/>
      <c r="G18" s="31"/>
      <c r="H18" s="32"/>
      <c r="I18" s="32"/>
      <c r="J18" s="31"/>
    </row>
    <row r="19" spans="2:10" ht="21" customHeight="1" x14ac:dyDescent="0.25">
      <c r="G19" s="31"/>
      <c r="H19" s="32"/>
      <c r="I19" s="32"/>
      <c r="J19" s="31"/>
    </row>
    <row r="20" spans="2:10" x14ac:dyDescent="0.25">
      <c r="C20" s="34" t="s">
        <v>50</v>
      </c>
      <c r="D20" s="34" t="s">
        <v>61</v>
      </c>
      <c r="G20" s="31"/>
      <c r="H20" s="32"/>
      <c r="I20" s="32"/>
      <c r="J20" s="31"/>
    </row>
    <row r="21" spans="2:10" ht="21" customHeight="1" x14ac:dyDescent="0.25">
      <c r="G21" s="31"/>
      <c r="H21" s="32"/>
      <c r="I21" s="32"/>
      <c r="J21" s="31"/>
    </row>
    <row r="22" spans="2:10" x14ac:dyDescent="0.25">
      <c r="C22" s="34" t="s">
        <v>27</v>
      </c>
      <c r="D22" s="34" t="s">
        <v>63</v>
      </c>
      <c r="G22" s="31"/>
      <c r="H22" s="32"/>
      <c r="I22" s="32"/>
      <c r="J22" s="31"/>
    </row>
    <row r="23" spans="2:10" x14ac:dyDescent="0.25">
      <c r="C23" s="35">
        <v>7</v>
      </c>
      <c r="D23" s="36">
        <v>1518929275199.8955</v>
      </c>
      <c r="G23" s="31"/>
      <c r="H23" s="32"/>
      <c r="I23" s="32"/>
      <c r="J23" s="31"/>
    </row>
    <row r="24" spans="2:10" x14ac:dyDescent="0.25">
      <c r="C24" s="35">
        <v>2</v>
      </c>
      <c r="D24" s="36">
        <v>1530089321193.1951</v>
      </c>
      <c r="G24" s="31"/>
      <c r="H24" s="32"/>
      <c r="I24" s="32"/>
      <c r="J24" s="31"/>
    </row>
    <row r="25" spans="2:10" x14ac:dyDescent="0.25">
      <c r="C25" s="35">
        <v>5</v>
      </c>
      <c r="D25" s="36">
        <v>1534770230438.9478</v>
      </c>
    </row>
    <row r="26" spans="2:10" x14ac:dyDescent="0.25">
      <c r="C26" s="35">
        <v>4</v>
      </c>
      <c r="D26" s="36">
        <v>1545606396102.4316</v>
      </c>
    </row>
    <row r="27" spans="2:10" x14ac:dyDescent="0.25">
      <c r="C27" s="35">
        <v>6</v>
      </c>
      <c r="D27" s="36">
        <v>1612220678466.6133</v>
      </c>
    </row>
    <row r="28" spans="2:10" x14ac:dyDescent="0.25">
      <c r="C28" s="35">
        <v>1</v>
      </c>
      <c r="D28" s="36">
        <v>1701145734944.6765</v>
      </c>
    </row>
    <row r="29" spans="2:10" x14ac:dyDescent="0.25">
      <c r="C29" s="35">
        <v>3</v>
      </c>
      <c r="D29" s="36">
        <v>1723804793200.0076</v>
      </c>
    </row>
    <row r="31" spans="2:10" x14ac:dyDescent="0.25">
      <c r="C31" s="22" t="s">
        <v>62</v>
      </c>
      <c r="D31" s="60">
        <f>AVERAGE(D23:D29)</f>
        <v>1595223775649.3953</v>
      </c>
    </row>
    <row r="32" spans="2:10" x14ac:dyDescent="0.25">
      <c r="C32" s="22" t="s">
        <v>47</v>
      </c>
      <c r="D32" s="60">
        <f>MEDIAN(D23:D29)</f>
        <v>1545606396102.4316</v>
      </c>
      <c r="F32" s="21"/>
    </row>
    <row r="33" spans="2:7" x14ac:dyDescent="0.25">
      <c r="C33" s="22" t="s">
        <v>48</v>
      </c>
      <c r="D33" s="60">
        <f>(D31+D32)/2</f>
        <v>1570415085875.9136</v>
      </c>
      <c r="F33" s="28"/>
    </row>
    <row r="34" spans="2:7" x14ac:dyDescent="0.25">
      <c r="C34" s="52" t="s">
        <v>64</v>
      </c>
      <c r="D34" s="61">
        <f>D33*90%</f>
        <v>1413373577288.3223</v>
      </c>
    </row>
    <row r="35" spans="2:7" x14ac:dyDescent="0.25">
      <c r="C35" s="45"/>
      <c r="D35" s="46"/>
    </row>
    <row r="37" spans="2:7" x14ac:dyDescent="0.25">
      <c r="B37" s="17" t="s">
        <v>41</v>
      </c>
      <c r="D37" s="2"/>
      <c r="E37" s="2"/>
      <c r="F37" s="2"/>
      <c r="G37" s="8"/>
    </row>
    <row r="38" spans="2:7" x14ac:dyDescent="0.25">
      <c r="D38" s="2"/>
      <c r="E38" s="2"/>
      <c r="F38" s="2"/>
    </row>
    <row r="39" spans="2:7" x14ac:dyDescent="0.25">
      <c r="C39" s="1"/>
      <c r="D39" s="2"/>
      <c r="E39" s="2"/>
      <c r="F39" s="2"/>
    </row>
    <row r="40" spans="2:7" x14ac:dyDescent="0.25">
      <c r="D40" s="2"/>
      <c r="E40" s="2"/>
      <c r="F40" s="2"/>
    </row>
    <row r="42" spans="2:7" x14ac:dyDescent="0.25">
      <c r="F42" s="1"/>
      <c r="G42" s="1"/>
    </row>
    <row r="43" spans="2:7" x14ac:dyDescent="0.25">
      <c r="F43" s="1"/>
      <c r="G43" s="1"/>
    </row>
    <row r="49" spans="2:3" x14ac:dyDescent="0.25">
      <c r="B49">
        <v>1</v>
      </c>
      <c r="C49" t="s">
        <v>71</v>
      </c>
    </row>
    <row r="50" spans="2:3" x14ac:dyDescent="0.25">
      <c r="B50">
        <v>2</v>
      </c>
      <c r="C50" t="s">
        <v>72</v>
      </c>
    </row>
    <row r="51" spans="2:3" x14ac:dyDescent="0.25">
      <c r="B51">
        <v>3</v>
      </c>
      <c r="C51" t="s">
        <v>73</v>
      </c>
    </row>
    <row r="52" spans="2:3" x14ac:dyDescent="0.25">
      <c r="B52">
        <v>4</v>
      </c>
      <c r="C52" t="s">
        <v>74</v>
      </c>
    </row>
    <row r="53" spans="2:3" x14ac:dyDescent="0.25">
      <c r="B53">
        <v>5</v>
      </c>
      <c r="C53" t="s">
        <v>75</v>
      </c>
    </row>
    <row r="54" spans="2:3" x14ac:dyDescent="0.25">
      <c r="B54">
        <v>6</v>
      </c>
      <c r="C54" t="s">
        <v>76</v>
      </c>
    </row>
    <row r="55" spans="2:3" x14ac:dyDescent="0.25">
      <c r="B55">
        <v>7</v>
      </c>
      <c r="C55" t="s">
        <v>77</v>
      </c>
    </row>
    <row r="57" spans="2:3" x14ac:dyDescent="0.25">
      <c r="C57" t="s">
        <v>93</v>
      </c>
    </row>
  </sheetData>
  <sortState xmlns:xlrd2="http://schemas.microsoft.com/office/spreadsheetml/2017/richdata2" ref="B19:D22">
    <sortCondition descending="1" ref="D19:D22"/>
  </sortState>
  <conditionalFormatting sqref="F11 F17:F18">
    <cfRule type="cellIs" dxfId="25" priority="12" operator="equal">
      <formula>"no"</formula>
    </cfRule>
  </conditionalFormatting>
  <conditionalFormatting sqref="E11 E17">
    <cfRule type="cellIs" dxfId="24" priority="11" operator="equal">
      <formula>"no"</formula>
    </cfRule>
  </conditionalFormatting>
  <conditionalFormatting sqref="F12">
    <cfRule type="cellIs" dxfId="23" priority="10" operator="equal">
      <formula>"no"</formula>
    </cfRule>
  </conditionalFormatting>
  <conditionalFormatting sqref="E12">
    <cfRule type="cellIs" dxfId="22" priority="9" operator="equal">
      <formula>"no"</formula>
    </cfRule>
  </conditionalFormatting>
  <conditionalFormatting sqref="F13">
    <cfRule type="cellIs" dxfId="21" priority="8" operator="equal">
      <formula>"no"</formula>
    </cfRule>
  </conditionalFormatting>
  <conditionalFormatting sqref="E13">
    <cfRule type="cellIs" dxfId="20" priority="7" operator="equal">
      <formula>"no"</formula>
    </cfRule>
  </conditionalFormatting>
  <conditionalFormatting sqref="F14">
    <cfRule type="cellIs" dxfId="19" priority="6" operator="equal">
      <formula>"no"</formula>
    </cfRule>
  </conditionalFormatting>
  <conditionalFormatting sqref="E14">
    <cfRule type="cellIs" dxfId="18" priority="5" operator="equal">
      <formula>"no"</formula>
    </cfRule>
  </conditionalFormatting>
  <conditionalFormatting sqref="F15">
    <cfRule type="cellIs" dxfId="17" priority="4" operator="equal">
      <formula>"no"</formula>
    </cfRule>
  </conditionalFormatting>
  <conditionalFormatting sqref="E15">
    <cfRule type="cellIs" dxfId="16" priority="3" operator="equal">
      <formula>"no"</formula>
    </cfRule>
  </conditionalFormatting>
  <conditionalFormatting sqref="F16">
    <cfRule type="cellIs" dxfId="15" priority="2" operator="equal">
      <formula>"no"</formula>
    </cfRule>
  </conditionalFormatting>
  <conditionalFormatting sqref="E16">
    <cfRule type="cellIs" dxfId="14" priority="1" operator="equal">
      <formula>"no"</formula>
    </cfRule>
  </conditionalFormatting>
  <hyperlinks>
    <hyperlink ref="B37" r:id="rId2" xr:uid="{00000000-0004-0000-0000-000000000000}"/>
  </hyperlinks>
  <pageMargins left="0.7" right="0.7" top="0.75" bottom="0.75" header="0.3" footer="0.3"/>
  <pageSetup paperSize="9" orientation="portrait" r:id="rId3"/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F19"/>
  <sheetViews>
    <sheetView topLeftCell="A3" zoomScale="130" zoomScaleNormal="130" zoomScalePageLayoutView="130" workbookViewId="0">
      <selection activeCell="B12" sqref="B12"/>
    </sheetView>
  </sheetViews>
  <sheetFormatPr baseColWidth="10" defaultRowHeight="15.75" x14ac:dyDescent="0.25"/>
  <cols>
    <col min="1" max="1" width="17.5" bestFit="1" customWidth="1"/>
    <col min="2" max="2" width="22.75" bestFit="1" customWidth="1"/>
    <col min="3" max="3" width="23.25" bestFit="1" customWidth="1"/>
    <col min="4" max="4" width="13.125" bestFit="1" customWidth="1"/>
    <col min="5" max="5" width="6.875" customWidth="1"/>
    <col min="6" max="6" width="24" bestFit="1" customWidth="1"/>
  </cols>
  <sheetData>
    <row r="3" spans="1:6" x14ac:dyDescent="0.25">
      <c r="B3" s="3" t="s">
        <v>49</v>
      </c>
      <c r="C3" t="s">
        <v>61</v>
      </c>
      <c r="F3" s="6" t="s">
        <v>26</v>
      </c>
    </row>
    <row r="5" spans="1:6" x14ac:dyDescent="0.25">
      <c r="A5" s="11" t="s">
        <v>66</v>
      </c>
      <c r="B5" s="3" t="s">
        <v>27</v>
      </c>
      <c r="C5" t="s">
        <v>36</v>
      </c>
      <c r="F5" t="s">
        <v>11</v>
      </c>
    </row>
    <row r="6" spans="1:6" x14ac:dyDescent="0.25">
      <c r="A6" s="37">
        <f>C6</f>
        <v>1518929275199.8955</v>
      </c>
      <c r="B6" s="4">
        <v>7</v>
      </c>
      <c r="C6" s="5">
        <v>1518929275199.8955</v>
      </c>
      <c r="D6" s="24">
        <f>IF(B6=C$19,800,((1-ABS(C$17-C6)/C$17)*800))</f>
        <v>786.19202354762092</v>
      </c>
      <c r="F6" t="s">
        <v>12</v>
      </c>
    </row>
    <row r="7" spans="1:6" x14ac:dyDescent="0.25">
      <c r="A7" s="37">
        <f t="shared" ref="A7:A12" si="0">C7</f>
        <v>1530089321193.1951</v>
      </c>
      <c r="B7" s="4">
        <v>2</v>
      </c>
      <c r="C7" s="5">
        <v>1530089321193.1951</v>
      </c>
      <c r="D7" s="24">
        <f t="shared" ref="D7:D12" si="1">IF(B7=C$19,800,((1-ABS(C$17-C7)/C$17)*800))</f>
        <v>791.96842096494106</v>
      </c>
      <c r="F7" t="s">
        <v>10</v>
      </c>
    </row>
    <row r="8" spans="1:6" x14ac:dyDescent="0.25">
      <c r="A8" s="37">
        <f t="shared" si="0"/>
        <v>1534770230438.9478</v>
      </c>
      <c r="B8" s="4">
        <v>5</v>
      </c>
      <c r="C8" s="5">
        <v>1534770230438.9478</v>
      </c>
      <c r="D8" s="24">
        <f t="shared" si="1"/>
        <v>794.39124181120906</v>
      </c>
      <c r="F8" t="s">
        <v>65</v>
      </c>
    </row>
    <row r="9" spans="1:6" x14ac:dyDescent="0.25">
      <c r="A9" s="37">
        <f t="shared" si="0"/>
        <v>1545606396102.4316</v>
      </c>
      <c r="B9" s="4">
        <v>4</v>
      </c>
      <c r="C9" s="5">
        <v>1545606396102.4316</v>
      </c>
      <c r="D9" s="24">
        <f t="shared" si="1"/>
        <v>800</v>
      </c>
      <c r="F9" t="s">
        <v>54</v>
      </c>
    </row>
    <row r="10" spans="1:6" x14ac:dyDescent="0.25">
      <c r="A10" s="37">
        <f t="shared" si="0"/>
        <v>1612220678466.6133</v>
      </c>
      <c r="B10" s="4">
        <v>6</v>
      </c>
      <c r="C10" s="5">
        <v>1612220678466.6133</v>
      </c>
      <c r="D10" s="24">
        <f t="shared" si="1"/>
        <v>765.5207004669943</v>
      </c>
    </row>
    <row r="11" spans="1:6" x14ac:dyDescent="0.25">
      <c r="A11" s="37">
        <f t="shared" si="0"/>
        <v>1701145734944.6765</v>
      </c>
      <c r="B11" s="4">
        <v>1</v>
      </c>
      <c r="C11" s="5">
        <v>1701145734944.6765</v>
      </c>
      <c r="D11" s="24">
        <f t="shared" si="1"/>
        <v>719.49342899487499</v>
      </c>
    </row>
    <row r="12" spans="1:6" x14ac:dyDescent="0.25">
      <c r="A12" s="37">
        <f t="shared" si="0"/>
        <v>1723804793200.0076</v>
      </c>
      <c r="B12" s="4">
        <v>3</v>
      </c>
      <c r="C12" s="5">
        <v>1723804793200.0076</v>
      </c>
      <c r="D12" s="24">
        <f t="shared" si="1"/>
        <v>707.76518650702258</v>
      </c>
    </row>
    <row r="13" spans="1:6" x14ac:dyDescent="0.25">
      <c r="A13" s="37"/>
      <c r="B13" s="4"/>
      <c r="C13" s="5"/>
      <c r="D13" s="24"/>
    </row>
    <row r="14" spans="1:6" x14ac:dyDescent="0.25">
      <c r="B14">
        <f>COUNT(B6:B12)</f>
        <v>7</v>
      </c>
    </row>
    <row r="15" spans="1:6" x14ac:dyDescent="0.25">
      <c r="B15" s="6" t="s">
        <v>67</v>
      </c>
      <c r="C15" s="7">
        <f>MEDIAN(C6:C12)</f>
        <v>1545606396102.4316</v>
      </c>
    </row>
    <row r="16" spans="1:6" x14ac:dyDescent="0.25">
      <c r="B16" t="s">
        <v>68</v>
      </c>
      <c r="C16" s="38">
        <f>AVERAGE(C8,C9)</f>
        <v>1540188313270.6897</v>
      </c>
      <c r="F16">
        <f>IF(ISEVEN(B14),1,0)</f>
        <v>0</v>
      </c>
    </row>
    <row r="17" spans="2:3" x14ac:dyDescent="0.25">
      <c r="B17" t="s">
        <v>15</v>
      </c>
      <c r="C17" s="39">
        <f>IF(ISEVEN(B14),C8,C15)</f>
        <v>1545606396102.4316</v>
      </c>
    </row>
    <row r="19" spans="2:3" x14ac:dyDescent="0.25">
      <c r="B19" t="s">
        <v>52</v>
      </c>
      <c r="C19">
        <f>VLOOKUP(C17,A6:B12,2,FALSE)</f>
        <v>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F20"/>
  <sheetViews>
    <sheetView topLeftCell="A7" zoomScaleNormal="100" zoomScalePageLayoutView="120" workbookViewId="0">
      <selection activeCell="D24" sqref="D24"/>
    </sheetView>
  </sheetViews>
  <sheetFormatPr baseColWidth="10" defaultRowHeight="15.75" x14ac:dyDescent="0.25"/>
  <cols>
    <col min="1" max="1" width="17.625" bestFit="1" customWidth="1"/>
    <col min="2" max="2" width="22.75" bestFit="1" customWidth="1"/>
    <col min="3" max="3" width="17" bestFit="1" customWidth="1"/>
    <col min="4" max="4" width="17.375" customWidth="1"/>
    <col min="5" max="5" width="16" bestFit="1" customWidth="1"/>
    <col min="6" max="6" width="24" bestFit="1" customWidth="1"/>
  </cols>
  <sheetData>
    <row r="3" spans="1:6" x14ac:dyDescent="0.25">
      <c r="B3" s="3" t="s">
        <v>49</v>
      </c>
      <c r="C3" t="s">
        <v>61</v>
      </c>
      <c r="F3" s="6" t="s">
        <v>28</v>
      </c>
    </row>
    <row r="5" spans="1:6" x14ac:dyDescent="0.25">
      <c r="A5" s="11" t="s">
        <v>25</v>
      </c>
      <c r="B5" s="3" t="s">
        <v>27</v>
      </c>
      <c r="C5" t="s">
        <v>14</v>
      </c>
      <c r="F5" t="s">
        <v>11</v>
      </c>
    </row>
    <row r="6" spans="1:6" x14ac:dyDescent="0.25">
      <c r="A6" s="12">
        <f>ABS(C$15-C6)</f>
        <v>74353853295.810059</v>
      </c>
      <c r="B6" s="4">
        <v>7</v>
      </c>
      <c r="C6" s="5">
        <v>1518929275199.8955</v>
      </c>
      <c r="D6" s="24">
        <f>IF(B6=C$18,800,((1-ABS(C$15-C6)/C$15)*800))</f>
        <v>762.66634499995689</v>
      </c>
      <c r="F6" t="s">
        <v>17</v>
      </c>
    </row>
    <row r="7" spans="1:6" x14ac:dyDescent="0.25">
      <c r="A7" s="12">
        <f t="shared" ref="A7:A12" si="0">ABS(C$15-C7)</f>
        <v>63193807302.510498</v>
      </c>
      <c r="B7" s="4">
        <v>2</v>
      </c>
      <c r="C7" s="5">
        <v>1530089321193.1951</v>
      </c>
      <c r="D7" s="24">
        <f t="shared" ref="D7:D12" si="1">IF(B7=C$18,800,((1-ABS(C$15-C7)/C$15)*800))</f>
        <v>768.2698919370722</v>
      </c>
      <c r="F7" t="s">
        <v>24</v>
      </c>
    </row>
    <row r="8" spans="1:6" x14ac:dyDescent="0.25">
      <c r="A8" s="12">
        <f t="shared" si="0"/>
        <v>58512898056.757813</v>
      </c>
      <c r="B8" s="4">
        <v>5</v>
      </c>
      <c r="C8" s="5">
        <v>1534770230438.9478</v>
      </c>
      <c r="D8" s="24">
        <f t="shared" si="1"/>
        <v>770.62021331412575</v>
      </c>
      <c r="F8" t="s">
        <v>55</v>
      </c>
    </row>
    <row r="9" spans="1:6" x14ac:dyDescent="0.25">
      <c r="A9" s="12">
        <f t="shared" si="0"/>
        <v>47676732393.273926</v>
      </c>
      <c r="B9" s="4">
        <v>4</v>
      </c>
      <c r="C9" s="5">
        <v>1545606396102.4316</v>
      </c>
      <c r="D9" s="24">
        <f t="shared" si="1"/>
        <v>776.06113738828685</v>
      </c>
    </row>
    <row r="10" spans="1:6" x14ac:dyDescent="0.25">
      <c r="A10" s="12">
        <f t="shared" si="0"/>
        <v>18937549970.907715</v>
      </c>
      <c r="B10" s="4">
        <v>6</v>
      </c>
      <c r="C10" s="5">
        <v>1612220678466.6133</v>
      </c>
      <c r="D10" s="24">
        <f t="shared" si="1"/>
        <v>800</v>
      </c>
    </row>
    <row r="11" spans="1:6" x14ac:dyDescent="0.25">
      <c r="A11" s="12">
        <f t="shared" si="0"/>
        <v>107862606448.97095</v>
      </c>
      <c r="B11" s="4">
        <v>1</v>
      </c>
      <c r="C11" s="5">
        <v>1701145734944.6765</v>
      </c>
      <c r="D11" s="24">
        <f t="shared" si="1"/>
        <v>745.8413362848778</v>
      </c>
    </row>
    <row r="12" spans="1:6" x14ac:dyDescent="0.25">
      <c r="A12" s="12">
        <f t="shared" si="0"/>
        <v>130521664704.302</v>
      </c>
      <c r="B12" s="4">
        <v>3</v>
      </c>
      <c r="C12" s="5">
        <v>1723804793200.0076</v>
      </c>
      <c r="D12" s="24">
        <f t="shared" si="1"/>
        <v>734.4640447790174</v>
      </c>
    </row>
    <row r="14" spans="1:6" x14ac:dyDescent="0.25">
      <c r="B14" s="6" t="s">
        <v>18</v>
      </c>
      <c r="C14" s="7">
        <f>GEOMEAN(C6:C12)</f>
        <v>1593283128495.7056</v>
      </c>
    </row>
    <row r="15" spans="1:6" x14ac:dyDescent="0.25">
      <c r="B15" t="s">
        <v>16</v>
      </c>
      <c r="C15" s="9">
        <f>C14</f>
        <v>1593283128495.7056</v>
      </c>
    </row>
    <row r="17" spans="1:5" x14ac:dyDescent="0.25">
      <c r="B17" t="s">
        <v>38</v>
      </c>
      <c r="C17" s="10">
        <f>MIN(A6:A12)</f>
        <v>18937549970.907715</v>
      </c>
      <c r="E17" s="2"/>
    </row>
    <row r="18" spans="1:5" x14ac:dyDescent="0.25">
      <c r="B18" t="s">
        <v>39</v>
      </c>
      <c r="C18">
        <f>VLOOKUP(C17,A6:B12,2,FALSE)</f>
        <v>6</v>
      </c>
    </row>
    <row r="20" spans="1:5" x14ac:dyDescent="0.25">
      <c r="A20" t="s">
        <v>93</v>
      </c>
    </row>
  </sheetData>
  <pageMargins left="0.7" right="0.7" top="0.75" bottom="0.75" header="0.3" footer="0.3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3:F20"/>
  <sheetViews>
    <sheetView zoomScale="120" zoomScaleNormal="120" zoomScalePageLayoutView="120" workbookViewId="0">
      <selection activeCell="D11" sqref="D11"/>
    </sheetView>
  </sheetViews>
  <sheetFormatPr baseColWidth="10" defaultRowHeight="15.75" x14ac:dyDescent="0.25"/>
  <cols>
    <col min="1" max="1" width="16.125" bestFit="1" customWidth="1"/>
    <col min="2" max="2" width="22.75" bestFit="1" customWidth="1"/>
    <col min="3" max="3" width="17.75" bestFit="1" customWidth="1"/>
    <col min="4" max="4" width="13.875" customWidth="1"/>
    <col min="5" max="5" width="16" bestFit="1" customWidth="1"/>
    <col min="6" max="6" width="24" bestFit="1" customWidth="1"/>
  </cols>
  <sheetData>
    <row r="3" spans="1:6" x14ac:dyDescent="0.25">
      <c r="B3" s="3" t="s">
        <v>49</v>
      </c>
      <c r="C3" t="s">
        <v>61</v>
      </c>
      <c r="F3" s="6" t="s">
        <v>29</v>
      </c>
    </row>
    <row r="5" spans="1:6" x14ac:dyDescent="0.25">
      <c r="A5" s="11" t="s">
        <v>25</v>
      </c>
      <c r="B5" s="3" t="s">
        <v>13</v>
      </c>
      <c r="C5" t="s">
        <v>14</v>
      </c>
      <c r="F5" t="s">
        <v>11</v>
      </c>
    </row>
    <row r="6" spans="1:6" x14ac:dyDescent="0.25">
      <c r="A6" s="12">
        <f>ABS(C$17-C6)</f>
        <v>38147250224.75</v>
      </c>
      <c r="B6" s="4">
        <v>7</v>
      </c>
      <c r="C6" s="5">
        <v>1518929275199.8955</v>
      </c>
      <c r="D6" s="24">
        <f>IF(B6=C$20,800,((1-ABS(C$17-C6)/C$17)*800))</f>
        <v>780.40057782550082</v>
      </c>
      <c r="F6" t="s">
        <v>22</v>
      </c>
    </row>
    <row r="7" spans="1:6" x14ac:dyDescent="0.25">
      <c r="A7" s="12">
        <f>ABS(C$17-C7)</f>
        <v>26987204231.450439</v>
      </c>
      <c r="B7" s="4">
        <v>2</v>
      </c>
      <c r="C7" s="5">
        <v>1530089321193.1951</v>
      </c>
      <c r="D7" s="24">
        <f t="shared" ref="D7:D12" si="0">IF(B7=C$20,800,((1-ABS(C$17-C7)/C$17)*800))</f>
        <v>786.13442368911683</v>
      </c>
      <c r="F7" t="s">
        <v>23</v>
      </c>
    </row>
    <row r="8" spans="1:6" x14ac:dyDescent="0.25">
      <c r="A8" s="12">
        <f t="shared" ref="A8:A12" si="1">ABS(C$17-C8)</f>
        <v>22306294985.697754</v>
      </c>
      <c r="B8" s="4">
        <v>5</v>
      </c>
      <c r="C8" s="5">
        <v>1534770230438.9478</v>
      </c>
      <c r="D8" s="24">
        <f t="shared" si="0"/>
        <v>788.53939694216922</v>
      </c>
      <c r="F8" t="s">
        <v>37</v>
      </c>
    </row>
    <row r="9" spans="1:6" x14ac:dyDescent="0.25">
      <c r="A9" s="12">
        <f t="shared" si="1"/>
        <v>11470129322.213867</v>
      </c>
      <c r="B9" s="4">
        <v>4</v>
      </c>
      <c r="C9" s="5">
        <v>1545606396102.4316</v>
      </c>
      <c r="D9" s="24">
        <f t="shared" si="0"/>
        <v>800</v>
      </c>
      <c r="F9" t="s">
        <v>56</v>
      </c>
    </row>
    <row r="10" spans="1:6" x14ac:dyDescent="0.25">
      <c r="A10" s="12">
        <f t="shared" si="1"/>
        <v>55144153041.967773</v>
      </c>
      <c r="B10" s="4">
        <v>6</v>
      </c>
      <c r="C10" s="5">
        <v>1612220678466.6133</v>
      </c>
      <c r="D10" s="24">
        <f t="shared" si="0"/>
        <v>771.66785208482725</v>
      </c>
    </row>
    <row r="11" spans="1:6" x14ac:dyDescent="0.25">
      <c r="A11" s="12">
        <f t="shared" si="1"/>
        <v>144069209520.03101</v>
      </c>
      <c r="B11" s="4">
        <v>1</v>
      </c>
      <c r="C11" s="5">
        <v>1701145734944.6765</v>
      </c>
      <c r="D11" s="24">
        <f t="shared" si="0"/>
        <v>725.97963829389028</v>
      </c>
    </row>
    <row r="12" spans="1:6" x14ac:dyDescent="0.25">
      <c r="A12" s="12">
        <f t="shared" si="1"/>
        <v>166728267775.36206</v>
      </c>
      <c r="B12" s="4">
        <v>3</v>
      </c>
      <c r="C12" s="5">
        <v>1723804793200.0076</v>
      </c>
      <c r="D12" s="24">
        <f t="shared" si="0"/>
        <v>714.33779134014389</v>
      </c>
    </row>
    <row r="13" spans="1:6" x14ac:dyDescent="0.25">
      <c r="B13" s="4"/>
      <c r="C13" s="5"/>
    </row>
    <row r="14" spans="1:6" x14ac:dyDescent="0.25">
      <c r="B14" s="4"/>
      <c r="C14" s="5"/>
    </row>
    <row r="15" spans="1:6" x14ac:dyDescent="0.25">
      <c r="B15" s="6" t="s">
        <v>19</v>
      </c>
      <c r="C15" s="7">
        <f>MIN(C6:C12)</f>
        <v>1518929275199.8955</v>
      </c>
    </row>
    <row r="16" spans="1:6" x14ac:dyDescent="0.25">
      <c r="B16" t="s">
        <v>20</v>
      </c>
      <c r="C16" s="5">
        <f>AVERAGE(C6:C12)</f>
        <v>1595223775649.3953</v>
      </c>
    </row>
    <row r="17" spans="2:3" x14ac:dyDescent="0.25">
      <c r="B17" t="s">
        <v>21</v>
      </c>
      <c r="C17" s="9">
        <f>(C15+C16)/2</f>
        <v>1557076525424.6455</v>
      </c>
    </row>
    <row r="19" spans="2:3" x14ac:dyDescent="0.25">
      <c r="B19" t="s">
        <v>38</v>
      </c>
      <c r="C19" s="10">
        <f>MIN(A6:A12)</f>
        <v>11470129322.213867</v>
      </c>
    </row>
    <row r="20" spans="2:3" x14ac:dyDescent="0.25">
      <c r="B20" t="s">
        <v>39</v>
      </c>
      <c r="C20">
        <f>VLOOKUP(C19,A6:B12,2,FALSE)</f>
        <v>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3:F17"/>
  <sheetViews>
    <sheetView zoomScale="120" zoomScaleNormal="120" zoomScalePageLayoutView="120" workbookViewId="0">
      <selection activeCell="D12" sqref="D12"/>
    </sheetView>
  </sheetViews>
  <sheetFormatPr baseColWidth="10" defaultRowHeight="15.75" x14ac:dyDescent="0.25"/>
  <cols>
    <col min="1" max="1" width="16.125" bestFit="1" customWidth="1"/>
    <col min="2" max="2" width="22.75" bestFit="1" customWidth="1"/>
    <col min="3" max="3" width="17.75" bestFit="1" customWidth="1"/>
    <col min="4" max="4" width="18.875" customWidth="1"/>
    <col min="5" max="5" width="11" customWidth="1"/>
    <col min="6" max="6" width="24" bestFit="1" customWidth="1"/>
  </cols>
  <sheetData>
    <row r="3" spans="1:6" x14ac:dyDescent="0.25">
      <c r="B3" s="3" t="s">
        <v>49</v>
      </c>
      <c r="C3" t="s">
        <v>61</v>
      </c>
      <c r="F3" s="6" t="s">
        <v>30</v>
      </c>
    </row>
    <row r="5" spans="1:6" x14ac:dyDescent="0.25">
      <c r="A5" s="11" t="s">
        <v>25</v>
      </c>
      <c r="B5" s="3" t="s">
        <v>13</v>
      </c>
      <c r="C5" t="s">
        <v>14</v>
      </c>
      <c r="F5" t="s">
        <v>11</v>
      </c>
    </row>
    <row r="6" spans="1:6" x14ac:dyDescent="0.25">
      <c r="A6" s="12">
        <f>ABS(C$15-C6)</f>
        <v>0</v>
      </c>
      <c r="B6" s="4">
        <v>7</v>
      </c>
      <c r="C6" s="5">
        <v>1518929275199.8955</v>
      </c>
      <c r="D6" s="24">
        <f>IF(B6=C$17,800,((800*C$15/C6)))</f>
        <v>800</v>
      </c>
      <c r="F6" t="s">
        <v>57</v>
      </c>
    </row>
    <row r="7" spans="1:6" x14ac:dyDescent="0.25">
      <c r="A7" s="12">
        <f>ABS(C$15-C7)</f>
        <v>11160045993.299561</v>
      </c>
      <c r="B7" s="4">
        <v>2</v>
      </c>
      <c r="C7" s="5">
        <v>1530089321193.1951</v>
      </c>
      <c r="D7" s="24">
        <f t="shared" ref="D7:D12" si="0">IF(B7=C$17,800,((800*C$15/C7)))</f>
        <v>794.16502247876792</v>
      </c>
      <c r="F7" t="s">
        <v>58</v>
      </c>
    </row>
    <row r="8" spans="1:6" x14ac:dyDescent="0.25">
      <c r="A8" s="12">
        <f>ABS(C$15-C8)</f>
        <v>15840955239.052246</v>
      </c>
      <c r="B8" s="4">
        <v>5</v>
      </c>
      <c r="C8" s="5">
        <v>1534770230438.9478</v>
      </c>
      <c r="D8" s="24">
        <f t="shared" si="0"/>
        <v>791.74289158083468</v>
      </c>
    </row>
    <row r="9" spans="1:6" x14ac:dyDescent="0.25">
      <c r="A9" s="12">
        <f>ABS(C$15-C9)</f>
        <v>26677120902.536133</v>
      </c>
      <c r="B9" s="4">
        <v>4</v>
      </c>
      <c r="C9" s="5">
        <v>1545606396102.4316</v>
      </c>
      <c r="D9" s="24">
        <f t="shared" si="0"/>
        <v>786.19202354762092</v>
      </c>
    </row>
    <row r="10" spans="1:6" x14ac:dyDescent="0.25">
      <c r="A10" s="12">
        <f t="shared" ref="A10:A12" si="1">ABS(C$15-C10)</f>
        <v>93291403266.717773</v>
      </c>
      <c r="B10" s="4">
        <v>6</v>
      </c>
      <c r="C10" s="5">
        <v>1612220678466.6133</v>
      </c>
      <c r="D10" s="24">
        <f t="shared" si="0"/>
        <v>753.70787410793048</v>
      </c>
    </row>
    <row r="11" spans="1:6" x14ac:dyDescent="0.25">
      <c r="A11" s="12">
        <f t="shared" si="1"/>
        <v>182216459744.78101</v>
      </c>
      <c r="B11" s="4">
        <v>1</v>
      </c>
      <c r="C11" s="5">
        <v>1701145734944.6765</v>
      </c>
      <c r="D11" s="24">
        <f t="shared" si="0"/>
        <v>714.30883033629948</v>
      </c>
    </row>
    <row r="12" spans="1:6" x14ac:dyDescent="0.25">
      <c r="A12" s="12">
        <f t="shared" si="1"/>
        <v>204875518000.11206</v>
      </c>
      <c r="B12" s="4">
        <v>3</v>
      </c>
      <c r="C12" s="5">
        <v>1723804793200.0076</v>
      </c>
      <c r="D12" s="24">
        <f t="shared" si="0"/>
        <v>704.91938817745665</v>
      </c>
    </row>
    <row r="13" spans="1:6" x14ac:dyDescent="0.25">
      <c r="B13" s="6"/>
      <c r="C13" s="7"/>
    </row>
    <row r="14" spans="1:6" x14ac:dyDescent="0.25">
      <c r="C14" s="5"/>
    </row>
    <row r="15" spans="1:6" ht="23.25" x14ac:dyDescent="0.35">
      <c r="B15" t="s">
        <v>40</v>
      </c>
      <c r="C15" s="9">
        <f>MIN(C6:C9)</f>
        <v>1518929275199.8955</v>
      </c>
      <c r="F15" s="25"/>
    </row>
    <row r="16" spans="1:6" x14ac:dyDescent="0.25">
      <c r="B16" t="s">
        <v>38</v>
      </c>
      <c r="C16" s="10">
        <f>MIN(A6:A12)</f>
        <v>0</v>
      </c>
    </row>
    <row r="17" spans="2:3" x14ac:dyDescent="0.25">
      <c r="B17" t="s">
        <v>39</v>
      </c>
      <c r="C17">
        <f>VLOOKUP(C16,A6:B12,2,FALSE)</f>
        <v>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4:I29"/>
  <sheetViews>
    <sheetView showGridLines="0" tabSelected="1" topLeftCell="B1" zoomScale="82" zoomScaleNormal="82" zoomScalePageLayoutView="130" workbookViewId="0">
      <selection activeCell="B29" sqref="B29"/>
    </sheetView>
  </sheetViews>
  <sheetFormatPr baseColWidth="10" defaultRowHeight="15.75" x14ac:dyDescent="0.25"/>
  <cols>
    <col min="1" max="1" width="5.125" customWidth="1"/>
    <col min="2" max="2" width="18.75" customWidth="1"/>
    <col min="3" max="3" width="66.875" bestFit="1" customWidth="1"/>
    <col min="4" max="4" width="13.125" bestFit="1" customWidth="1"/>
    <col min="5" max="7" width="10.375" customWidth="1"/>
    <col min="8" max="8" width="12.125" customWidth="1"/>
    <col min="9" max="9" width="15.25" bestFit="1" customWidth="1"/>
    <col min="10" max="10" width="10.375" customWidth="1"/>
  </cols>
  <sheetData>
    <row r="4" spans="2:9" x14ac:dyDescent="0.25">
      <c r="B4" s="6" t="s">
        <v>60</v>
      </c>
    </row>
    <row r="5" spans="2:9" x14ac:dyDescent="0.25">
      <c r="B5" s="16" t="str">
        <f>'Ev. Financiera'!B5</f>
        <v>PUERTO SALGAR - BARRANCABERMEJA</v>
      </c>
    </row>
    <row r="7" spans="2:9" ht="47.25" x14ac:dyDescent="0.25">
      <c r="B7" s="15" t="s">
        <v>35</v>
      </c>
      <c r="C7" s="15" t="s">
        <v>0</v>
      </c>
      <c r="D7" s="26" t="s">
        <v>42</v>
      </c>
      <c r="E7" s="27" t="s">
        <v>51</v>
      </c>
      <c r="F7" s="27" t="s">
        <v>44</v>
      </c>
      <c r="G7" s="27" t="s">
        <v>43</v>
      </c>
      <c r="H7" s="27" t="s">
        <v>53</v>
      </c>
      <c r="I7" s="26" t="s">
        <v>45</v>
      </c>
    </row>
    <row r="8" spans="2:9" ht="20.100000000000001" customHeight="1" x14ac:dyDescent="0.25">
      <c r="B8" s="47">
        <f>'Ev. Financiera'!B11</f>
        <v>1</v>
      </c>
      <c r="C8" s="47" t="str">
        <f>'Ev. Financiera'!C11</f>
        <v>ESTRUCTURA PLURAL NUEVO MAGDALENA NO. 1</v>
      </c>
      <c r="D8" s="50">
        <f>'Ev. Financiera'!H11</f>
        <v>745.8413362848778</v>
      </c>
      <c r="E8" s="66">
        <v>50</v>
      </c>
      <c r="F8" s="66">
        <v>0</v>
      </c>
      <c r="G8" s="66">
        <v>40</v>
      </c>
      <c r="H8" s="66">
        <v>0</v>
      </c>
      <c r="I8" s="67">
        <f>SUM(D8:H8)</f>
        <v>835.8413362848778</v>
      </c>
    </row>
    <row r="9" spans="2:9" ht="20.100000000000001" customHeight="1" x14ac:dyDescent="0.25">
      <c r="B9" s="47">
        <f>'Ev. Financiera'!B12</f>
        <v>2</v>
      </c>
      <c r="C9" s="47" t="str">
        <f>'Ev. Financiera'!C12</f>
        <v>ESTRUCTURA PLURAL VALLE DEL RIO 1</v>
      </c>
      <c r="D9" s="50">
        <f>'Ev. Financiera'!H12</f>
        <v>768.2698919370722</v>
      </c>
      <c r="E9" s="66">
        <v>50</v>
      </c>
      <c r="F9" s="66">
        <v>100</v>
      </c>
      <c r="G9" s="66">
        <v>40</v>
      </c>
      <c r="H9" s="66">
        <v>10</v>
      </c>
      <c r="I9" s="67">
        <f t="shared" ref="I9:I14" si="0">SUM(D9:H9)</f>
        <v>968.2698919370722</v>
      </c>
    </row>
    <row r="10" spans="2:9" ht="20.100000000000001" customHeight="1" x14ac:dyDescent="0.25">
      <c r="B10" s="47">
        <f>'Ev. Financiera'!B13</f>
        <v>3</v>
      </c>
      <c r="C10" s="47" t="str">
        <f>'Ev. Financiera'!C13</f>
        <v>ESTRUCTURA PLURAL  RUTA AL MAGDALENA PTO SALGAR BARRANCABERMEJA</v>
      </c>
      <c r="D10" s="50">
        <f>'Ev. Financiera'!H13</f>
        <v>734.4640447790174</v>
      </c>
      <c r="E10" s="66">
        <v>50</v>
      </c>
      <c r="F10" s="66">
        <v>100</v>
      </c>
      <c r="G10" s="66">
        <v>40</v>
      </c>
      <c r="H10" s="66">
        <v>10</v>
      </c>
      <c r="I10" s="67">
        <f t="shared" si="0"/>
        <v>934.4640447790174</v>
      </c>
    </row>
    <row r="11" spans="2:9" ht="20.100000000000001" customHeight="1" x14ac:dyDescent="0.25">
      <c r="B11" s="47">
        <f>'Ev. Financiera'!B14</f>
        <v>4</v>
      </c>
      <c r="C11" s="47" t="str">
        <f>'Ev. Financiera'!C14</f>
        <v xml:space="preserve">ESTRUCTURA PLURAL AUTOPISTA MAGDALENA MEDIO </v>
      </c>
      <c r="D11" s="50">
        <f>'Ev. Financiera'!H14</f>
        <v>776.06113738828685</v>
      </c>
      <c r="E11" s="66">
        <v>50</v>
      </c>
      <c r="F11" s="66">
        <v>100</v>
      </c>
      <c r="G11" s="66">
        <v>40</v>
      </c>
      <c r="H11" s="66">
        <v>10</v>
      </c>
      <c r="I11" s="67">
        <f t="shared" si="0"/>
        <v>976.06113738828685</v>
      </c>
    </row>
    <row r="12" spans="2:9" ht="20.100000000000001" customHeight="1" x14ac:dyDescent="0.25">
      <c r="B12" s="47">
        <f>'Ev. Financiera'!B15</f>
        <v>5</v>
      </c>
      <c r="C12" s="47" t="str">
        <f>'Ev. Financiera'!C15</f>
        <v>ESTRUCTURA PLURAL  DEL RIO GRANDE 1</v>
      </c>
      <c r="D12" s="50">
        <f>'Ev. Financiera'!H15</f>
        <v>770.62021331412575</v>
      </c>
      <c r="E12" s="66">
        <v>50</v>
      </c>
      <c r="F12" s="66">
        <v>100</v>
      </c>
      <c r="G12" s="66">
        <v>40</v>
      </c>
      <c r="H12" s="66">
        <v>10</v>
      </c>
      <c r="I12" s="67">
        <f t="shared" si="0"/>
        <v>970.62021331412575</v>
      </c>
    </row>
    <row r="13" spans="2:9" ht="20.100000000000001" customHeight="1" x14ac:dyDescent="0.25">
      <c r="B13" s="47">
        <f>'Ev. Financiera'!B16</f>
        <v>6</v>
      </c>
      <c r="C13" s="47" t="str">
        <f>'Ev. Financiera'!C16</f>
        <v xml:space="preserve">ESTRUCTURA PLURAL TRONCAL DEL MAGDALENA </v>
      </c>
      <c r="D13" s="50">
        <f>'Ev. Financiera'!H16</f>
        <v>800</v>
      </c>
      <c r="E13" s="66">
        <v>50</v>
      </c>
      <c r="F13" s="66">
        <v>0</v>
      </c>
      <c r="G13" s="66">
        <v>40</v>
      </c>
      <c r="H13" s="66">
        <v>10</v>
      </c>
      <c r="I13" s="67">
        <f t="shared" si="0"/>
        <v>900</v>
      </c>
    </row>
    <row r="14" spans="2:9" ht="20.100000000000001" customHeight="1" x14ac:dyDescent="0.25">
      <c r="B14" s="47">
        <f>'Ev. Financiera'!B17</f>
        <v>7</v>
      </c>
      <c r="C14" s="47" t="str">
        <f>'Ev. Financiera'!C17</f>
        <v>SACYR CONCESIONES</v>
      </c>
      <c r="D14" s="50">
        <f>'Ev. Financiera'!H17</f>
        <v>762.66634499995689</v>
      </c>
      <c r="E14" s="66">
        <v>50</v>
      </c>
      <c r="F14" s="66">
        <v>100</v>
      </c>
      <c r="G14" s="66">
        <v>40</v>
      </c>
      <c r="H14" s="66">
        <v>10</v>
      </c>
      <c r="I14" s="67">
        <f t="shared" si="0"/>
        <v>962.66634499995689</v>
      </c>
    </row>
    <row r="16" spans="2:9" x14ac:dyDescent="0.25">
      <c r="B16" s="6" t="s">
        <v>70</v>
      </c>
    </row>
    <row r="17" spans="2:5" s="40" customFormat="1" ht="21" customHeight="1" x14ac:dyDescent="0.25">
      <c r="B17" s="40" t="s">
        <v>92</v>
      </c>
      <c r="C17" s="41" t="s">
        <v>0</v>
      </c>
      <c r="D17" s="42" t="s">
        <v>69</v>
      </c>
    </row>
    <row r="18" spans="2:5" s="40" customFormat="1" ht="20.100000000000001" customHeight="1" x14ac:dyDescent="0.25">
      <c r="B18" s="40">
        <v>4</v>
      </c>
      <c r="C18" s="68" t="s">
        <v>74</v>
      </c>
      <c r="D18" s="69">
        <v>976.06113738828685</v>
      </c>
      <c r="E18" s="59">
        <v>1</v>
      </c>
    </row>
    <row r="19" spans="2:5" s="40" customFormat="1" ht="20.100000000000001" customHeight="1" x14ac:dyDescent="0.25">
      <c r="B19" s="40">
        <v>5</v>
      </c>
      <c r="C19" s="68" t="s">
        <v>75</v>
      </c>
      <c r="D19" s="69">
        <v>970.62021331412575</v>
      </c>
      <c r="E19" s="43">
        <v>2</v>
      </c>
    </row>
    <row r="20" spans="2:5" s="40" customFormat="1" ht="20.100000000000001" customHeight="1" x14ac:dyDescent="0.25">
      <c r="B20" s="40">
        <v>2</v>
      </c>
      <c r="C20" s="68" t="s">
        <v>72</v>
      </c>
      <c r="D20" s="69">
        <v>968.2698919370722</v>
      </c>
      <c r="E20" s="43">
        <v>3</v>
      </c>
    </row>
    <row r="21" spans="2:5" s="40" customFormat="1" ht="20.100000000000001" customHeight="1" x14ac:dyDescent="0.25">
      <c r="B21" s="40">
        <v>7</v>
      </c>
      <c r="C21" s="68" t="s">
        <v>77</v>
      </c>
      <c r="D21" s="69">
        <v>962.66634499995689</v>
      </c>
      <c r="E21" s="43">
        <v>4</v>
      </c>
    </row>
    <row r="22" spans="2:5" ht="20.100000000000001" customHeight="1" x14ac:dyDescent="0.25">
      <c r="B22" s="40">
        <v>3</v>
      </c>
      <c r="C22" s="68" t="s">
        <v>78</v>
      </c>
      <c r="D22" s="69">
        <v>934.4640447790174</v>
      </c>
      <c r="E22" s="43">
        <v>5</v>
      </c>
    </row>
    <row r="23" spans="2:5" ht="20.100000000000001" customHeight="1" x14ac:dyDescent="0.25">
      <c r="B23" s="40">
        <v>6</v>
      </c>
      <c r="C23" s="68" t="s">
        <v>76</v>
      </c>
      <c r="D23" s="69">
        <v>900</v>
      </c>
      <c r="E23" s="43">
        <v>6</v>
      </c>
    </row>
    <row r="24" spans="2:5" ht="20.100000000000001" customHeight="1" x14ac:dyDescent="0.25">
      <c r="B24" s="40">
        <v>1</v>
      </c>
      <c r="C24" s="68" t="s">
        <v>71</v>
      </c>
      <c r="D24" s="69">
        <v>835.8413362848778</v>
      </c>
      <c r="E24" s="43">
        <v>7</v>
      </c>
    </row>
    <row r="29" spans="2:5" x14ac:dyDescent="0.25">
      <c r="B29" t="s">
        <v>93</v>
      </c>
    </row>
  </sheetData>
  <pageMargins left="0.7" right="0.7" top="0.75" bottom="0.75" header="0.3" footer="0.3"/>
  <pageSetup orientation="portrait" horizontalDpi="360" verticalDpi="36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ofertas</vt:lpstr>
      <vt:lpstr>Ev. Financiera</vt:lpstr>
      <vt:lpstr>M1</vt:lpstr>
      <vt:lpstr>M2</vt:lpstr>
      <vt:lpstr>M3</vt:lpstr>
      <vt:lpstr>M4</vt:lpstr>
      <vt:lpstr>Resultados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Microsoft Office</dc:creator>
  <cp:lastModifiedBy>Esther Elena Osorio Florez</cp:lastModifiedBy>
  <dcterms:created xsi:type="dcterms:W3CDTF">2021-06-16T16:49:04Z</dcterms:created>
  <dcterms:modified xsi:type="dcterms:W3CDTF">2022-05-26T00:46:45Z</dcterms:modified>
</cp:coreProperties>
</file>