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5600" windowHeight="9432" tabRatio="640" activeTab="3"/>
  </bookViews>
  <sheets>
    <sheet name="CAPACIDAD FINANCIERA" sheetId="1" r:id="rId1"/>
    <sheet name="CAPACIDAD RESIDUAL DEF" sheetId="4" r:id="rId2"/>
    <sheet name="CAPACIDAD RESIDUAL" sheetId="2" r:id="rId3"/>
    <sheet name="RESUMEN EVALUACIÓN" sheetId="3" r:id="rId4"/>
  </sheets>
  <definedNames>
    <definedName name="_xlnm.Print_Titles" localSheetId="0">'CAPACIDAD FINANCIERA'!$B:$E</definedName>
  </definedNames>
  <calcPr calcId="145621"/>
</workbook>
</file>

<file path=xl/calcChain.xml><?xml version="1.0" encoding="utf-8"?>
<calcChain xmlns="http://schemas.openxmlformats.org/spreadsheetml/2006/main">
  <c r="G30" i="4" l="1"/>
  <c r="G27" i="4"/>
  <c r="G24" i="4"/>
  <c r="G22" i="4"/>
  <c r="G18" i="4"/>
  <c r="G11" i="4"/>
  <c r="G34" i="4"/>
  <c r="G33" i="4"/>
  <c r="G28" i="4"/>
  <c r="G15" i="4"/>
  <c r="G14" i="4"/>
  <c r="E34" i="4"/>
  <c r="H34" i="4" s="1"/>
  <c r="E33" i="4"/>
  <c r="H33" i="4" s="1"/>
  <c r="E32" i="4"/>
  <c r="G32" i="4" s="1"/>
  <c r="D32" i="4"/>
  <c r="C32" i="4"/>
  <c r="E31" i="4"/>
  <c r="D31" i="4"/>
  <c r="C31" i="4"/>
  <c r="D30" i="4"/>
  <c r="C30" i="4"/>
  <c r="K29" i="4"/>
  <c r="J29" i="4"/>
  <c r="L29" i="4" s="1"/>
  <c r="I29" i="4"/>
  <c r="F29" i="4"/>
  <c r="C29" i="4"/>
  <c r="E28" i="4"/>
  <c r="H28" i="4" s="1"/>
  <c r="E27" i="4"/>
  <c r="H27" i="4" s="1"/>
  <c r="E26" i="4"/>
  <c r="G26" i="4" s="1"/>
  <c r="E25" i="4"/>
  <c r="H25" i="4" s="1"/>
  <c r="H24" i="4"/>
  <c r="E24" i="4"/>
  <c r="K23" i="4"/>
  <c r="L23" i="4" s="1"/>
  <c r="J23" i="4"/>
  <c r="I23" i="4"/>
  <c r="F23" i="4"/>
  <c r="D23" i="4"/>
  <c r="E22" i="4"/>
  <c r="D22" i="4"/>
  <c r="H22" i="4" s="1"/>
  <c r="C22" i="4"/>
  <c r="E21" i="4"/>
  <c r="G21" i="4" s="1"/>
  <c r="D21" i="4"/>
  <c r="H21" i="4" s="1"/>
  <c r="C21" i="4"/>
  <c r="E20" i="4"/>
  <c r="G20" i="4" s="1"/>
  <c r="D20" i="4"/>
  <c r="H20" i="4" s="1"/>
  <c r="C20" i="4"/>
  <c r="F19" i="4"/>
  <c r="F16" i="4" s="1"/>
  <c r="E19" i="4"/>
  <c r="H19" i="4" s="1"/>
  <c r="D19" i="4"/>
  <c r="C19" i="4"/>
  <c r="E18" i="4"/>
  <c r="H18" i="4" s="1"/>
  <c r="D18" i="4"/>
  <c r="C18" i="4"/>
  <c r="E17" i="4"/>
  <c r="G17" i="4" s="1"/>
  <c r="D17" i="4"/>
  <c r="D16" i="4" s="1"/>
  <c r="C17" i="4"/>
  <c r="K16" i="4"/>
  <c r="J16" i="4"/>
  <c r="L16" i="4" s="1"/>
  <c r="I16" i="4"/>
  <c r="C16" i="4"/>
  <c r="E15" i="4"/>
  <c r="H15" i="4" s="1"/>
  <c r="H14" i="4"/>
  <c r="E14" i="4"/>
  <c r="E13" i="4"/>
  <c r="D13" i="4"/>
  <c r="C13" i="4"/>
  <c r="E12" i="4"/>
  <c r="D12" i="4"/>
  <c r="C12" i="4"/>
  <c r="D11" i="4"/>
  <c r="H11" i="4" s="1"/>
  <c r="K10" i="4"/>
  <c r="J10" i="4"/>
  <c r="L10" i="4" s="1"/>
  <c r="I10" i="4"/>
  <c r="F10" i="4"/>
  <c r="J23" i="3"/>
  <c r="J24" i="3"/>
  <c r="J25" i="3"/>
  <c r="J26" i="3"/>
  <c r="J12" i="3"/>
  <c r="J13" i="3"/>
  <c r="J15" i="3"/>
  <c r="J16" i="3"/>
  <c r="J17" i="3"/>
  <c r="J18" i="3"/>
  <c r="J19" i="3"/>
  <c r="J20" i="3"/>
  <c r="J22" i="3"/>
  <c r="J28" i="3"/>
  <c r="J29" i="3"/>
  <c r="J30" i="3"/>
  <c r="J31" i="3"/>
  <c r="J11" i="3"/>
  <c r="C28" i="3"/>
  <c r="D17" i="3"/>
  <c r="D23" i="3" s="1"/>
  <c r="D20" i="3"/>
  <c r="D26" i="3" s="1"/>
  <c r="D30" i="3" s="1"/>
  <c r="D31" i="3" s="1"/>
  <c r="D16" i="3"/>
  <c r="D15" i="3"/>
  <c r="D19" i="3" s="1"/>
  <c r="D25" i="3" s="1"/>
  <c r="D29" i="3" s="1"/>
  <c r="C20" i="3"/>
  <c r="C19" i="3"/>
  <c r="C18" i="3"/>
  <c r="C17" i="3"/>
  <c r="C16" i="3"/>
  <c r="C15" i="3"/>
  <c r="C13" i="3"/>
  <c r="E18" i="2"/>
  <c r="F19" i="2"/>
  <c r="D31" i="2"/>
  <c r="D32" i="2"/>
  <c r="D30" i="2"/>
  <c r="D18" i="2"/>
  <c r="D19" i="2"/>
  <c r="D20" i="2"/>
  <c r="D21" i="2"/>
  <c r="D22" i="2"/>
  <c r="D17" i="2"/>
  <c r="D12" i="2"/>
  <c r="D13" i="2"/>
  <c r="D11" i="2"/>
  <c r="C30" i="2"/>
  <c r="C31" i="2"/>
  <c r="C32" i="2"/>
  <c r="C29" i="2"/>
  <c r="C18" i="2"/>
  <c r="C19" i="2"/>
  <c r="C20" i="2"/>
  <c r="C21" i="2"/>
  <c r="C22" i="2"/>
  <c r="C17" i="2"/>
  <c r="C16" i="2"/>
  <c r="C13" i="2"/>
  <c r="C12" i="2"/>
  <c r="U33" i="1"/>
  <c r="U34" i="1"/>
  <c r="U32" i="1"/>
  <c r="U31" i="1" s="1"/>
  <c r="U27" i="1"/>
  <c r="U28" i="1"/>
  <c r="U29" i="1"/>
  <c r="U26" i="1"/>
  <c r="U14" i="1"/>
  <c r="U15" i="1"/>
  <c r="U13" i="1"/>
  <c r="U19" i="1"/>
  <c r="U20" i="1"/>
  <c r="U21" i="1"/>
  <c r="U22" i="1"/>
  <c r="U23" i="1"/>
  <c r="U24" i="1"/>
  <c r="O27" i="1"/>
  <c r="O28" i="1"/>
  <c r="O29" i="1"/>
  <c r="O26" i="1"/>
  <c r="O20" i="1"/>
  <c r="O21" i="1"/>
  <c r="O22" i="1"/>
  <c r="O23" i="1"/>
  <c r="O24" i="1"/>
  <c r="O19" i="1"/>
  <c r="O14" i="1"/>
  <c r="O15" i="1"/>
  <c r="O13" i="1"/>
  <c r="D18" i="3" l="1"/>
  <c r="D24" i="3" s="1"/>
  <c r="G16" i="4"/>
  <c r="H23" i="4"/>
  <c r="M23" i="4" s="1"/>
  <c r="H13" i="4"/>
  <c r="D29" i="4"/>
  <c r="E29" i="4"/>
  <c r="G13" i="4"/>
  <c r="G19" i="4"/>
  <c r="E10" i="4"/>
  <c r="H12" i="4"/>
  <c r="H17" i="4"/>
  <c r="H16" i="4" s="1"/>
  <c r="M16" i="4" s="1"/>
  <c r="H26" i="4"/>
  <c r="H30" i="4"/>
  <c r="H31" i="4"/>
  <c r="H32" i="4"/>
  <c r="G12" i="4"/>
  <c r="G25" i="4"/>
  <c r="G23" i="4" s="1"/>
  <c r="G31" i="4"/>
  <c r="G29" i="4" s="1"/>
  <c r="U25" i="1"/>
  <c r="E16" i="4"/>
  <c r="H29" i="4"/>
  <c r="M29" i="4" s="1"/>
  <c r="H10" i="4"/>
  <c r="M10" i="4" s="1"/>
  <c r="E23" i="4"/>
  <c r="O12" i="1"/>
  <c r="O25" i="1"/>
  <c r="D29" i="2"/>
  <c r="U12" i="1"/>
  <c r="D16" i="2"/>
  <c r="D22" i="3"/>
  <c r="D28" i="3" s="1"/>
  <c r="G10" i="4" l="1"/>
  <c r="O18" i="1"/>
  <c r="N12" i="1"/>
  <c r="J24" i="1"/>
  <c r="J23" i="1"/>
  <c r="Y22" i="1"/>
  <c r="J22" i="1"/>
  <c r="Y21" i="1"/>
  <c r="J21" i="1"/>
  <c r="Q19" i="1"/>
  <c r="Q21" i="1"/>
  <c r="Q22" i="1"/>
  <c r="Q23" i="1"/>
  <c r="Q24" i="1"/>
  <c r="J20" i="1"/>
  <c r="S19" i="1"/>
  <c r="S21" i="1"/>
  <c r="S22" i="1"/>
  <c r="S23" i="1"/>
  <c r="S24" i="1"/>
  <c r="J19" i="1"/>
  <c r="J18" i="1" s="1"/>
  <c r="O34" i="1"/>
  <c r="J34" i="1"/>
  <c r="S33" i="1"/>
  <c r="S34" i="1"/>
  <c r="Q33" i="1"/>
  <c r="Q34" i="1"/>
  <c r="O33" i="1"/>
  <c r="J33" i="1"/>
  <c r="S32" i="1"/>
  <c r="Q32" i="1"/>
  <c r="O32" i="1"/>
  <c r="J32" i="1"/>
  <c r="D23" i="2"/>
  <c r="S26" i="1"/>
  <c r="S27" i="1"/>
  <c r="S28" i="1"/>
  <c r="S29" i="1"/>
  <c r="Q26" i="1"/>
  <c r="Q27" i="1"/>
  <c r="Q28" i="1"/>
  <c r="Q29" i="1"/>
  <c r="J26" i="1"/>
  <c r="J27" i="1"/>
  <c r="J28" i="1"/>
  <c r="J29" i="1"/>
  <c r="J14" i="1"/>
  <c r="S13" i="1"/>
  <c r="S14" i="1"/>
  <c r="S15" i="1"/>
  <c r="Q13" i="1"/>
  <c r="Q14" i="1"/>
  <c r="Q15" i="1"/>
  <c r="J15" i="1"/>
  <c r="J13" i="1"/>
  <c r="O31" i="1" l="1"/>
  <c r="AA31" i="1"/>
  <c r="AA25" i="1"/>
  <c r="AA18" i="1"/>
  <c r="AA12" i="1"/>
  <c r="Y25" i="1"/>
  <c r="Y31" i="1"/>
  <c r="Y18" i="1"/>
  <c r="Y12" i="1"/>
  <c r="E31" i="2"/>
  <c r="H31" i="2" s="1"/>
  <c r="E32" i="2"/>
  <c r="H32" i="2" s="1"/>
  <c r="E33" i="2"/>
  <c r="H33" i="2" s="1"/>
  <c r="E34" i="2"/>
  <c r="H34" i="2" s="1"/>
  <c r="H30" i="2"/>
  <c r="E25" i="2"/>
  <c r="H25" i="2" s="1"/>
  <c r="E26" i="2"/>
  <c r="H26" i="2" s="1"/>
  <c r="E27" i="2"/>
  <c r="H27" i="2" s="1"/>
  <c r="E28" i="2"/>
  <c r="H28" i="2" s="1"/>
  <c r="E24" i="2"/>
  <c r="H24" i="2" s="1"/>
  <c r="E17" i="2"/>
  <c r="H18" i="2"/>
  <c r="E19" i="2"/>
  <c r="H19" i="2" s="1"/>
  <c r="E20" i="2"/>
  <c r="H20" i="2" s="1"/>
  <c r="E21" i="2"/>
  <c r="H21" i="2" s="1"/>
  <c r="E22" i="2"/>
  <c r="H22" i="2" s="1"/>
  <c r="E12" i="2"/>
  <c r="H12" i="2" s="1"/>
  <c r="E13" i="2"/>
  <c r="H13" i="2" s="1"/>
  <c r="E14" i="2"/>
  <c r="H14" i="2" s="1"/>
  <c r="E15" i="2"/>
  <c r="H15" i="2" s="1"/>
  <c r="F29" i="2"/>
  <c r="F23" i="2"/>
  <c r="F16" i="2"/>
  <c r="F10" i="2"/>
  <c r="J29" i="2"/>
  <c r="J23" i="2"/>
  <c r="J16" i="2"/>
  <c r="J10" i="2"/>
  <c r="K29" i="2"/>
  <c r="K23" i="2"/>
  <c r="K16" i="2"/>
  <c r="K10" i="2"/>
  <c r="I29" i="2"/>
  <c r="I23" i="2"/>
  <c r="I16" i="2"/>
  <c r="I10" i="2"/>
  <c r="F12" i="1"/>
  <c r="I12" i="1"/>
  <c r="G12" i="1"/>
  <c r="U67" i="1"/>
  <c r="U61" i="1"/>
  <c r="U55" i="1"/>
  <c r="U49" i="1"/>
  <c r="U43" i="1"/>
  <c r="U37" i="1"/>
  <c r="N67" i="1"/>
  <c r="N61" i="1"/>
  <c r="N55" i="1"/>
  <c r="N49" i="1"/>
  <c r="N43" i="1"/>
  <c r="N37" i="1"/>
  <c r="N31" i="1"/>
  <c r="N25" i="1"/>
  <c r="N18" i="1"/>
  <c r="H12" i="1"/>
  <c r="I67" i="1"/>
  <c r="I61" i="1"/>
  <c r="I55" i="1"/>
  <c r="I49" i="1"/>
  <c r="I43" i="1"/>
  <c r="I37" i="1"/>
  <c r="I31" i="1"/>
  <c r="I25" i="1"/>
  <c r="I18" i="1"/>
  <c r="H67" i="1"/>
  <c r="G67" i="1"/>
  <c r="F67" i="1"/>
  <c r="H61" i="1"/>
  <c r="G61" i="1"/>
  <c r="J61" i="1" s="1"/>
  <c r="F61" i="1"/>
  <c r="H55" i="1"/>
  <c r="G55" i="1"/>
  <c r="F55" i="1"/>
  <c r="H49" i="1"/>
  <c r="G49" i="1"/>
  <c r="J49" i="1" s="1"/>
  <c r="F49" i="1"/>
  <c r="H43" i="1"/>
  <c r="G43" i="1"/>
  <c r="F43" i="1"/>
  <c r="H37" i="1"/>
  <c r="G37" i="1"/>
  <c r="J37" i="1" s="1"/>
  <c r="F37" i="1"/>
  <c r="H31" i="1"/>
  <c r="G31" i="1"/>
  <c r="F31" i="1"/>
  <c r="H25" i="1"/>
  <c r="G25" i="1"/>
  <c r="F25" i="1"/>
  <c r="H18" i="1"/>
  <c r="G18" i="1"/>
  <c r="F18" i="1"/>
  <c r="E67" i="1"/>
  <c r="E61" i="1"/>
  <c r="E55" i="1"/>
  <c r="E49" i="1"/>
  <c r="E43" i="1"/>
  <c r="E37" i="1"/>
  <c r="E31" i="1"/>
  <c r="E25" i="1"/>
  <c r="E18" i="1"/>
  <c r="E12" i="1"/>
  <c r="U18" i="1" l="1"/>
  <c r="O37" i="1"/>
  <c r="J43" i="1"/>
  <c r="O61" i="1"/>
  <c r="P61" i="1" s="1"/>
  <c r="W61" i="1" s="1"/>
  <c r="J67" i="1"/>
  <c r="D10" i="2"/>
  <c r="D10" i="4"/>
  <c r="Q18" i="1"/>
  <c r="R18" i="1" s="1"/>
  <c r="E10" i="2"/>
  <c r="P37" i="1"/>
  <c r="W37" i="1" s="1"/>
  <c r="Q25" i="1"/>
  <c r="R25" i="1" s="1"/>
  <c r="Q31" i="1"/>
  <c r="R31" i="1" s="1"/>
  <c r="O55" i="1"/>
  <c r="P55" i="1" s="1"/>
  <c r="W55" i="1" s="1"/>
  <c r="S12" i="1"/>
  <c r="Q12" i="1"/>
  <c r="R12" i="1" s="1"/>
  <c r="P31" i="1"/>
  <c r="J25" i="1"/>
  <c r="V25" i="1" s="1"/>
  <c r="J12" i="1"/>
  <c r="V12" i="1" s="1"/>
  <c r="H29" i="2"/>
  <c r="P25" i="1"/>
  <c r="J31" i="1"/>
  <c r="V31" i="1" s="1"/>
  <c r="O49" i="1"/>
  <c r="P49" i="1" s="1"/>
  <c r="W49" i="1" s="1"/>
  <c r="J55" i="1"/>
  <c r="V55" i="1" s="1"/>
  <c r="P18" i="1"/>
  <c r="O43" i="1"/>
  <c r="P43" i="1" s="1"/>
  <c r="W43" i="1" s="1"/>
  <c r="O67" i="1"/>
  <c r="P67" i="1" s="1"/>
  <c r="W67" i="1" s="1"/>
  <c r="E29" i="2"/>
  <c r="E23" i="2"/>
  <c r="L10" i="2"/>
  <c r="L23" i="2"/>
  <c r="L16" i="2"/>
  <c r="L29" i="2"/>
  <c r="H23" i="2"/>
  <c r="E16" i="2"/>
  <c r="H11" i="2"/>
  <c r="H10" i="2" s="1"/>
  <c r="H17" i="2"/>
  <c r="H16" i="2" s="1"/>
  <c r="S18" i="1"/>
  <c r="T18" i="1" s="1"/>
  <c r="S31" i="1"/>
  <c r="T31" i="1" s="1"/>
  <c r="S43" i="1"/>
  <c r="T43" i="1" s="1"/>
  <c r="S55" i="1"/>
  <c r="T55" i="1" s="1"/>
  <c r="S67" i="1"/>
  <c r="T67" i="1" s="1"/>
  <c r="S25" i="1"/>
  <c r="T25" i="1" s="1"/>
  <c r="S37" i="1"/>
  <c r="T37" i="1" s="1"/>
  <c r="S49" i="1"/>
  <c r="T49" i="1" s="1"/>
  <c r="S61" i="1"/>
  <c r="T61" i="1" s="1"/>
  <c r="V67" i="1"/>
  <c r="V37" i="1"/>
  <c r="V49" i="1"/>
  <c r="V61" i="1"/>
  <c r="V18" i="1"/>
  <c r="V43" i="1"/>
  <c r="Q43" i="1"/>
  <c r="R43" i="1" s="1"/>
  <c r="Q55" i="1"/>
  <c r="R55" i="1" s="1"/>
  <c r="Q67" i="1"/>
  <c r="R67" i="1" s="1"/>
  <c r="Q37" i="1"/>
  <c r="R37" i="1" s="1"/>
  <c r="Q49" i="1"/>
  <c r="R49" i="1" s="1"/>
  <c r="Q61" i="1"/>
  <c r="R61" i="1" s="1"/>
  <c r="T12" i="1"/>
  <c r="P12" i="1"/>
  <c r="M16" i="2" l="1"/>
  <c r="M23" i="2"/>
  <c r="W12" i="1"/>
  <c r="W18" i="1"/>
  <c r="W31" i="1"/>
  <c r="W25" i="1"/>
  <c r="M10" i="2"/>
  <c r="M29" i="2"/>
</calcChain>
</file>

<file path=xl/sharedStrings.xml><?xml version="1.0" encoding="utf-8"?>
<sst xmlns="http://schemas.openxmlformats.org/spreadsheetml/2006/main" count="357" uniqueCount="128">
  <si>
    <t>DATOS DEL INTERESADO</t>
  </si>
  <si>
    <t>PROPONENTE</t>
  </si>
  <si>
    <t>INFORMACIÓN  FINANCIERA - RUP</t>
  </si>
  <si>
    <t>ACTIVO CORRIENTE</t>
  </si>
  <si>
    <t>ACTIVO TOTAL</t>
  </si>
  <si>
    <t>PASIVO CORRIENTE</t>
  </si>
  <si>
    <t>PASIVO TOTAL</t>
  </si>
  <si>
    <t>PLAZO</t>
  </si>
  <si>
    <t>CAPITAL DE TRABAJO DEMANDADO POR MÓDULO</t>
  </si>
  <si>
    <t>INDICE-CAPITAL DE TRABAJO</t>
  </si>
  <si>
    <t>INDICADOR (CT)</t>
  </si>
  <si>
    <t>RESULTADO</t>
  </si>
  <si>
    <t>INDICE-LIQUIDEZ</t>
  </si>
  <si>
    <t>INDICADOR</t>
  </si>
  <si>
    <t>INDICE-ENDEUDAMIENTO</t>
  </si>
  <si>
    <t>INDICE-PATRIMONIO</t>
  </si>
  <si>
    <t>EVALUACIÓN FINANCIERA</t>
  </si>
  <si>
    <t>OFERTA
N°</t>
  </si>
  <si>
    <t>1.1</t>
  </si>
  <si>
    <t>1.2</t>
  </si>
  <si>
    <t>1.3</t>
  </si>
  <si>
    <t>1.4</t>
  </si>
  <si>
    <t>1.5</t>
  </si>
  <si>
    <t>Fórmula:
Endeudamiento=Pas.T/Act.T&lt;85%</t>
  </si>
  <si>
    <t>Fórmula:
Patrimonio=Act.T-Pas.T&gt;=PO*55% por módulo.</t>
  </si>
  <si>
    <t>Fórmula:
Liquidez=AC/PC&gt;=1,2</t>
  </si>
  <si>
    <t xml:space="preserve">Fórmula:
CT=AC-PC&gt;=CTd </t>
  </si>
  <si>
    <t>PATRIMONIO
(Activo Total - Pasivo Total)</t>
  </si>
  <si>
    <t>2.1</t>
  </si>
  <si>
    <t>2.2</t>
  </si>
  <si>
    <t>2.3</t>
  </si>
  <si>
    <t>2.4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</si>
  <si>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</si>
  <si>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</si>
  <si>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</si>
  <si>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</si>
  <si>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</si>
  <si>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</si>
  <si>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</si>
  <si>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</si>
  <si>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</si>
  <si>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</si>
  <si>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5.1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</si>
  <si>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</si>
  <si>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</si>
  <si>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</si>
  <si>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</si>
  <si>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</si>
  <si>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</si>
  <si>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</si>
  <si>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</si>
  <si>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</si>
  <si>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</si>
  <si>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</si>
  <si>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</si>
  <si>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</si>
  <si>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7.5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</si>
  <si>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</si>
  <si>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</si>
  <si>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</si>
  <si>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</si>
  <si>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</si>
  <si>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</si>
  <si>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</si>
  <si>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</si>
  <si>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</si>
  <si>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9.5</t>
  </si>
  <si>
    <t>10.1</t>
  </si>
  <si>
    <t>10.2</t>
  </si>
  <si>
    <t>10.3</t>
  </si>
  <si>
    <t>10.4</t>
  </si>
  <si>
    <t>10.5</t>
  </si>
  <si>
    <t>VALOR PRESUPUESTO OFICIAL (PO)</t>
  </si>
  <si>
    <t>INDICADOR - (PO*55% )</t>
  </si>
  <si>
    <t>CORTE 
INFORMACION FINANCIERA
31 DE DICIEMBRE DEL 2012</t>
  </si>
  <si>
    <t>AGENCIA NACIONAL DE INFRAESTRUCTURA</t>
  </si>
  <si>
    <t>LICITACIÓN PÚBLICA VJ-VE-LP-002 DE 2013</t>
  </si>
  <si>
    <t>OFERTA N°</t>
  </si>
  <si>
    <t>PORCENTAJE DE PARTICIPACION
(%)</t>
  </si>
  <si>
    <t>En Pesos Colombianos</t>
  </si>
  <si>
    <t>MODULO</t>
  </si>
  <si>
    <t>SUMATORIA DE CONTRATOS</t>
  </si>
  <si>
    <t>CAPITAL DE TRABAJO (CT)
Activo Corriente - Pasivo Corriente</t>
  </si>
  <si>
    <t>VALOR PRESUPUESTO OFICIAL ANUAL(PO)</t>
  </si>
  <si>
    <t>INDICADOR CAPACIDAD RESIDUAL</t>
  </si>
  <si>
    <t>ADMISIBLE  / NO ADMISIBLE</t>
  </si>
  <si>
    <t>CAPACIDAD DE ORGANIZACIÓN</t>
  </si>
  <si>
    <t>2.6</t>
  </si>
  <si>
    <t>CAPACIDAD DE ORGANIZACIÓN OPERACIONAL
3000 SMMLV</t>
  </si>
  <si>
    <t>ADMISIBLE / NO ADMISIBLE</t>
  </si>
  <si>
    <t>CAPACIDAD RESIDUAL</t>
  </si>
  <si>
    <t>HABIL / NO HABIL</t>
  </si>
  <si>
    <t>Personal Minimo
50</t>
  </si>
  <si>
    <t>CAPACIDAD DE ORGANIZACIÓN TECNICA</t>
  </si>
  <si>
    <t>DRAGADOS IBE SUCURSAL COLOMBIA</t>
  </si>
  <si>
    <t>VÍAS Y CONSTRUCCIONES S.A.</t>
  </si>
  <si>
    <t>CONSTRUCTURA COLPATRIA</t>
  </si>
  <si>
    <t>UNION TEMPORAL FERROVIARIA CENTRAL</t>
  </si>
  <si>
    <t>SOLARTE NACIONAL DE CONSTRUCCIONES SAS SONACOL SAS</t>
  </si>
  <si>
    <t>FERROVIARIA CENTRAL SA</t>
  </si>
  <si>
    <t>RAHS INGENIERIA SA</t>
  </si>
  <si>
    <t>CONSTRUCCIONES RUBAU SA SUCURSAL COLOMBIA</t>
  </si>
  <si>
    <t>FERROVIARIA ORIENTAL SA</t>
  </si>
  <si>
    <t>ODINSA PROYECTO E INVERSIONES S.A.</t>
  </si>
  <si>
    <t>CONSTRUCCIONES EL CONDOR S.A.</t>
  </si>
  <si>
    <t>CASTRO TCHERASSI</t>
  </si>
  <si>
    <t>CONSORCIO FERCOL-FERROCARRIL COLOMBIA</t>
  </si>
  <si>
    <t>MOTA-ENGIL ENGENHARIA E CONSTRUCAO S.A SUCURSAL COLOMBIA</t>
  </si>
  <si>
    <t>MOTA-ENGIL PERU S.A</t>
  </si>
  <si>
    <t>MANVIA-MANUTENCAO E EXPLORACAO DE INSTALACIONES E CONSTRUCAO S.A</t>
  </si>
  <si>
    <t>MOTA-ENGIL COLOMBIA S.A.S</t>
  </si>
  <si>
    <t>CONSTRUCCIONES E INVERSIONES BETA S.A.S</t>
  </si>
  <si>
    <t>IKON GROUP S.A.S</t>
  </si>
  <si>
    <t>ADMISIBLE</t>
  </si>
  <si>
    <t>CONSORCIO FERROVIARIO DE COLOMBIA</t>
  </si>
  <si>
    <t xml:space="preserve">HABIL </t>
  </si>
  <si>
    <t>MÓDULOS - 1 y 2</t>
  </si>
  <si>
    <t>EVALUACIÓN FINANCIERA - MODULO 1  y  MODULO 2</t>
  </si>
  <si>
    <t>EVALUACIÓN FINANCIERA - MODULO 1 y MODULO 2</t>
  </si>
  <si>
    <t xml:space="preserve">EVALUACIÓN FINANCIERA - MODULO 1  y   MODULO  2 </t>
  </si>
  <si>
    <t>EDNA PATRICIA PAZOS MONSALVE</t>
  </si>
  <si>
    <t>GONZALO PÉREZ ALBARRACÍN</t>
  </si>
  <si>
    <t xml:space="preserve">Comité Evaluador </t>
  </si>
  <si>
    <t xml:space="preserve">         </t>
  </si>
  <si>
    <t>CAPITAL RESIDUAL DE CONTRATACION AFECTADA POR % POR INTEGRANTE (CR)</t>
  </si>
  <si>
    <t>CAPITAL RESIDUAL DE CONTRATACION POR INTEGRANTE (CR)</t>
  </si>
  <si>
    <t>CONSORCIO DRACOL LINEAS FÉRREAS</t>
  </si>
  <si>
    <t>CONSORCIO DRACOL  LÍNEAS FÉRREAS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</si>
</sst>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\ _€_-;\-* #,##0.0\ _€_-;_-* &quot;-&quot;??\ _€_-;_-@_-"/>
    <numFmt numFmtId="166" formatCode="_-* #,##0\ _€_-;\-* #,##0\ _€_-;_-* &quot;-&quot;??\ _€_-;_-@_-"/>
    <numFmt numFmtId="167" formatCode="&quot;$&quot;\ #,##0"/>
    <numFmt numFmtId="168" formatCode="_(&quot;$&quot;\ * #,##0_);_(&quot;$&quot;\ * \(#,##0\);_(&quot;$&quot;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0" applyFont="1"/>
    <xf numFmtId="0" fontId="4" fillId="3" borderId="15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4" fillId="3" borderId="11" xfId="0" applyFont="1" applyFill="1" applyBorder="1" applyAlignment="1">
      <alignment horizontal="center" vertical="center" wrapText="1"/>
    </xf>
    <xf numFmtId="164" fontId="3" fillId="3" borderId="11" xfId="1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/>
    <xf numFmtId="9" fontId="3" fillId="4" borderId="4" xfId="2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0" borderId="12" xfId="0" applyFont="1" applyBorder="1"/>
    <xf numFmtId="0" fontId="4" fillId="3" borderId="10" xfId="0" applyFont="1" applyFill="1" applyBorder="1" applyAlignment="1">
      <alignment horizontal="center" vertical="center" wrapText="1"/>
    </xf>
    <xf numFmtId="0" fontId="3" fillId="3" borderId="4" xfId="0" applyFont="1" applyFill="1" applyBorder="1"/>
    <xf numFmtId="9" fontId="3" fillId="3" borderId="4" xfId="2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3" fillId="4" borderId="8" xfId="0" applyFont="1" applyFill="1" applyBorder="1"/>
    <xf numFmtId="0" fontId="3" fillId="0" borderId="9" xfId="0" applyFont="1" applyBorder="1"/>
    <xf numFmtId="0" fontId="3" fillId="3" borderId="12" xfId="0" applyFont="1" applyFill="1" applyBorder="1"/>
    <xf numFmtId="164" fontId="3" fillId="0" borderId="4" xfId="1" applyFont="1" applyBorder="1" applyAlignment="1">
      <alignment horizontal="left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3" fillId="3" borderId="24" xfId="0" applyFont="1" applyFill="1" applyBorder="1"/>
    <xf numFmtId="164" fontId="4" fillId="3" borderId="11" xfId="1" applyNumberFormat="1" applyFont="1" applyFill="1" applyBorder="1" applyAlignment="1">
      <alignment horizontal="center" vertical="center" wrapText="1"/>
    </xf>
    <xf numFmtId="164" fontId="4" fillId="3" borderId="4" xfId="1" applyFont="1" applyFill="1" applyBorder="1" applyAlignment="1">
      <alignment horizontal="center" vertical="center" wrapText="1"/>
    </xf>
    <xf numFmtId="164" fontId="3" fillId="0" borderId="4" xfId="1" applyFont="1" applyBorder="1"/>
    <xf numFmtId="164" fontId="3" fillId="0" borderId="4" xfId="1" applyFont="1" applyBorder="1" applyAlignment="1">
      <alignment horizontal="center" vertical="center" wrapText="1"/>
    </xf>
    <xf numFmtId="164" fontId="4" fillId="3" borderId="11" xfId="1" applyFont="1" applyFill="1" applyBorder="1" applyAlignment="1">
      <alignment horizontal="center" vertical="center" wrapText="1"/>
    </xf>
    <xf numFmtId="0" fontId="3" fillId="3" borderId="27" xfId="0" applyFont="1" applyFill="1" applyBorder="1"/>
    <xf numFmtId="164" fontId="3" fillId="0" borderId="8" xfId="1" applyFont="1" applyBorder="1" applyAlignment="1">
      <alignment horizontal="center" vertical="center" wrapText="1"/>
    </xf>
    <xf numFmtId="0" fontId="3" fillId="6" borderId="12" xfId="0" applyFont="1" applyFill="1" applyBorder="1"/>
    <xf numFmtId="0" fontId="3" fillId="6" borderId="9" xfId="0" applyFont="1" applyFill="1" applyBorder="1"/>
    <xf numFmtId="0" fontId="4" fillId="7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3" fillId="3" borderId="11" xfId="0" applyNumberFormat="1" applyFont="1" applyFill="1" applyBorder="1" applyAlignment="1">
      <alignment horizontal="center"/>
    </xf>
    <xf numFmtId="9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9" fontId="3" fillId="3" borderId="4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0" borderId="4" xfId="0" applyFont="1" applyFill="1" applyBorder="1"/>
    <xf numFmtId="43" fontId="3" fillId="0" borderId="4" xfId="0" applyNumberFormat="1" applyFont="1" applyBorder="1"/>
    <xf numFmtId="44" fontId="3" fillId="0" borderId="4" xfId="4" applyFont="1" applyBorder="1"/>
    <xf numFmtId="0" fontId="3" fillId="7" borderId="21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164" fontId="6" fillId="6" borderId="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Border="1"/>
    <xf numFmtId="164" fontId="7" fillId="2" borderId="20" xfId="1" applyFont="1" applyFill="1" applyBorder="1" applyAlignment="1">
      <alignment horizontal="right" vertical="center" wrapText="1"/>
    </xf>
    <xf numFmtId="0" fontId="7" fillId="0" borderId="2" xfId="0" applyFont="1" applyBorder="1"/>
    <xf numFmtId="0" fontId="7" fillId="2" borderId="20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8" fillId="3" borderId="11" xfId="0" applyFont="1" applyFill="1" applyBorder="1"/>
    <xf numFmtId="9" fontId="8" fillId="3" borderId="11" xfId="2" applyNumberFormat="1" applyFont="1" applyFill="1" applyBorder="1" applyAlignment="1">
      <alignment horizontal="center" vertical="center" wrapText="1"/>
    </xf>
    <xf numFmtId="166" fontId="8" fillId="3" borderId="11" xfId="1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166" fontId="8" fillId="3" borderId="11" xfId="1" applyNumberFormat="1" applyFont="1" applyFill="1" applyBorder="1"/>
    <xf numFmtId="164" fontId="8" fillId="3" borderId="11" xfId="1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" fontId="8" fillId="3" borderId="11" xfId="1" applyNumberFormat="1" applyFont="1" applyFill="1" applyBorder="1" applyAlignment="1">
      <alignment horizontal="center"/>
    </xf>
    <xf numFmtId="10" fontId="8" fillId="3" borderId="11" xfId="0" applyNumberFormat="1" applyFont="1" applyFill="1" applyBorder="1" applyAlignment="1">
      <alignment horizontal="center" vertical="center" wrapText="1"/>
    </xf>
    <xf numFmtId="166" fontId="8" fillId="3" borderId="11" xfId="0" applyNumberFormat="1" applyFont="1" applyFill="1" applyBorder="1"/>
    <xf numFmtId="0" fontId="7" fillId="2" borderId="3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4" fontId="7" fillId="2" borderId="30" xfId="0" applyNumberFormat="1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/>
    <xf numFmtId="14" fontId="8" fillId="0" borderId="4" xfId="0" applyNumberFormat="1" applyFont="1" applyBorder="1"/>
    <xf numFmtId="9" fontId="8" fillId="6" borderId="4" xfId="2" applyFont="1" applyFill="1" applyBorder="1" applyAlignment="1">
      <alignment horizontal="center" vertical="center" wrapText="1"/>
    </xf>
    <xf numFmtId="167" fontId="8" fillId="6" borderId="4" xfId="0" applyNumberFormat="1" applyFont="1" applyFill="1" applyBorder="1"/>
    <xf numFmtId="168" fontId="8" fillId="0" borderId="4" xfId="4" applyNumberFormat="1" applyFont="1" applyBorder="1"/>
    <xf numFmtId="167" fontId="8" fillId="0" borderId="4" xfId="0" applyNumberFormat="1" applyFont="1" applyBorder="1"/>
    <xf numFmtId="4" fontId="8" fillId="0" borderId="11" xfId="1" applyNumberFormat="1" applyFont="1" applyFill="1" applyBorder="1" applyAlignment="1">
      <alignment horizontal="center"/>
    </xf>
    <xf numFmtId="10" fontId="8" fillId="0" borderId="11" xfId="0" applyNumberFormat="1" applyFont="1" applyFill="1" applyBorder="1" applyAlignment="1">
      <alignment horizontal="center" vertical="center" wrapText="1"/>
    </xf>
    <xf numFmtId="166" fontId="8" fillId="6" borderId="11" xfId="0" applyNumberFormat="1" applyFont="1" applyFill="1" applyBorder="1"/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" fontId="8" fillId="0" borderId="10" xfId="0" applyNumberFormat="1" applyFont="1" applyBorder="1" applyAlignment="1">
      <alignment horizontal="right"/>
    </xf>
    <xf numFmtId="0" fontId="8" fillId="0" borderId="12" xfId="0" applyFont="1" applyBorder="1"/>
    <xf numFmtId="4" fontId="8" fillId="0" borderId="4" xfId="1" applyNumberFormat="1" applyFont="1" applyFill="1" applyBorder="1" applyAlignment="1">
      <alignment horizontal="center"/>
    </xf>
    <xf numFmtId="10" fontId="8" fillId="0" borderId="4" xfId="0" applyNumberFormat="1" applyFont="1" applyFill="1" applyBorder="1" applyAlignment="1">
      <alignment horizontal="center" vertical="center" wrapText="1"/>
    </xf>
    <xf numFmtId="166" fontId="8" fillId="6" borderId="4" xfId="0" applyNumberFormat="1" applyFont="1" applyFill="1" applyBorder="1"/>
    <xf numFmtId="0" fontId="8" fillId="6" borderId="4" xfId="0" applyFont="1" applyFill="1" applyBorder="1"/>
    <xf numFmtId="4" fontId="8" fillId="0" borderId="4" xfId="0" applyNumberFormat="1" applyFont="1" applyBorder="1" applyAlignment="1">
      <alignment horizontal="center"/>
    </xf>
    <xf numFmtId="10" fontId="8" fillId="0" borderId="4" xfId="0" applyNumberFormat="1" applyFont="1" applyBorder="1" applyAlignment="1">
      <alignment horizontal="center"/>
    </xf>
    <xf numFmtId="0" fontId="7" fillId="3" borderId="10" xfId="0" applyFont="1" applyFill="1" applyBorder="1" applyAlignment="1">
      <alignment horizontal="center" vertical="center" wrapText="1"/>
    </xf>
    <xf numFmtId="0" fontId="8" fillId="3" borderId="4" xfId="0" applyFont="1" applyFill="1" applyBorder="1"/>
    <xf numFmtId="9" fontId="8" fillId="3" borderId="4" xfId="2" applyNumberFormat="1" applyFont="1" applyFill="1" applyBorder="1" applyAlignment="1">
      <alignment horizontal="center" vertical="center" wrapText="1"/>
    </xf>
    <xf numFmtId="164" fontId="8" fillId="3" borderId="4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6" fontId="8" fillId="3" borderId="4" xfId="1" applyNumberFormat="1" applyFont="1" applyFill="1" applyBorder="1" applyAlignment="1">
      <alignment horizontal="center" vertical="center" wrapText="1"/>
    </xf>
    <xf numFmtId="166" fontId="8" fillId="3" borderId="4" xfId="1" applyNumberFormat="1" applyFont="1" applyFill="1" applyBorder="1"/>
    <xf numFmtId="164" fontId="8" fillId="3" borderId="4" xfId="1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8" fillId="3" borderId="4" xfId="1" applyNumberFormat="1" applyFont="1" applyFill="1" applyBorder="1" applyAlignment="1">
      <alignment horizontal="center"/>
    </xf>
    <xf numFmtId="10" fontId="8" fillId="3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/>
    <xf numFmtId="166" fontId="8" fillId="3" borderId="4" xfId="0" applyNumberFormat="1" applyFont="1" applyFill="1" applyBorder="1"/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vertical="center" wrapText="1"/>
    </xf>
    <xf numFmtId="168" fontId="8" fillId="6" borderId="4" xfId="4" applyNumberFormat="1" applyFont="1" applyFill="1" applyBorder="1"/>
    <xf numFmtId="168" fontId="8" fillId="6" borderId="4" xfId="4" applyNumberFormat="1" applyFont="1" applyFill="1" applyBorder="1" applyAlignment="1">
      <alignment horizontal="center" vertical="center" wrapText="1"/>
    </xf>
    <xf numFmtId="168" fontId="8" fillId="0" borderId="4" xfId="0" applyNumberFormat="1" applyFont="1" applyBorder="1"/>
    <xf numFmtId="164" fontId="8" fillId="6" borderId="4" xfId="1" applyNumberFormat="1" applyFont="1" applyFill="1" applyBorder="1" applyAlignment="1">
      <alignment horizontal="center" vertical="center" wrapText="1"/>
    </xf>
    <xf numFmtId="4" fontId="8" fillId="6" borderId="4" xfId="1" applyNumberFormat="1" applyFont="1" applyFill="1" applyBorder="1" applyAlignment="1">
      <alignment horizontal="center"/>
    </xf>
    <xf numFmtId="10" fontId="8" fillId="6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justify"/>
    </xf>
    <xf numFmtId="166" fontId="8" fillId="0" borderId="4" xfId="0" applyNumberFormat="1" applyFont="1" applyBorder="1"/>
    <xf numFmtId="168" fontId="8" fillId="3" borderId="4" xfId="4" applyNumberFormat="1" applyFont="1" applyFill="1" applyBorder="1" applyAlignment="1">
      <alignment horizontal="center" vertical="center" wrapText="1"/>
    </xf>
    <xf numFmtId="168" fontId="8" fillId="6" borderId="4" xfId="1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/>
    <xf numFmtId="9" fontId="8" fillId="6" borderId="8" xfId="2" applyFont="1" applyFill="1" applyBorder="1" applyAlignment="1">
      <alignment horizontal="center" vertical="center" wrapText="1"/>
    </xf>
    <xf numFmtId="0" fontId="8" fillId="6" borderId="8" xfId="0" applyFont="1" applyFill="1" applyBorder="1"/>
    <xf numFmtId="0" fontId="8" fillId="0" borderId="7" xfId="0" applyFont="1" applyBorder="1"/>
    <xf numFmtId="0" fontId="8" fillId="0" borderId="9" xfId="0" applyFont="1" applyBorder="1"/>
    <xf numFmtId="0" fontId="7" fillId="3" borderId="26" xfId="0" applyFont="1" applyFill="1" applyBorder="1" applyAlignment="1">
      <alignment horizontal="center" vertical="center" wrapText="1"/>
    </xf>
    <xf numFmtId="0" fontId="8" fillId="3" borderId="24" xfId="0" applyFont="1" applyFill="1" applyBorder="1"/>
    <xf numFmtId="9" fontId="8" fillId="3" borderId="24" xfId="2" applyNumberFormat="1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166" fontId="8" fillId="3" borderId="24" xfId="1" applyNumberFormat="1" applyFont="1" applyFill="1" applyBorder="1" applyAlignment="1">
      <alignment horizontal="center" vertical="center" wrapText="1"/>
    </xf>
    <xf numFmtId="166" fontId="8" fillId="3" borderId="24" xfId="1" applyNumberFormat="1" applyFont="1" applyFill="1" applyBorder="1"/>
    <xf numFmtId="164" fontId="8" fillId="3" borderId="24" xfId="1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165" fontId="8" fillId="3" borderId="24" xfId="1" applyNumberFormat="1" applyFont="1" applyFill="1" applyBorder="1"/>
    <xf numFmtId="0" fontId="7" fillId="2" borderId="24" xfId="0" applyFont="1" applyFill="1" applyBorder="1"/>
    <xf numFmtId="166" fontId="8" fillId="3" borderId="24" xfId="0" applyNumberFormat="1" applyFont="1" applyFill="1" applyBorder="1"/>
    <xf numFmtId="9" fontId="8" fillId="4" borderId="4" xfId="2" applyFont="1" applyFill="1" applyBorder="1" applyAlignment="1">
      <alignment horizontal="center" vertical="center" wrapText="1"/>
    </xf>
    <xf numFmtId="0" fontId="8" fillId="4" borderId="4" xfId="0" applyFont="1" applyFill="1" applyBorder="1"/>
    <xf numFmtId="0" fontId="8" fillId="0" borderId="22" xfId="0" applyFont="1" applyBorder="1"/>
    <xf numFmtId="0" fontId="8" fillId="0" borderId="10" xfId="0" applyFont="1" applyBorder="1"/>
    <xf numFmtId="0" fontId="8" fillId="3" borderId="4" xfId="0" applyFont="1" applyFill="1" applyBorder="1" applyAlignment="1">
      <alignment horizontal="center" vertical="center" wrapText="1"/>
    </xf>
    <xf numFmtId="165" fontId="8" fillId="3" borderId="4" xfId="1" applyNumberFormat="1" applyFont="1" applyFill="1" applyBorder="1"/>
    <xf numFmtId="9" fontId="8" fillId="4" borderId="8" xfId="2" applyFont="1" applyFill="1" applyBorder="1" applyAlignment="1">
      <alignment horizontal="center" vertical="center" wrapText="1"/>
    </xf>
    <xf numFmtId="0" fontId="8" fillId="4" borderId="8" xfId="0" applyFont="1" applyFill="1" applyBorder="1"/>
    <xf numFmtId="0" fontId="8" fillId="0" borderId="23" xfId="0" applyFont="1" applyBorder="1"/>
    <xf numFmtId="0" fontId="9" fillId="0" borderId="0" xfId="0" applyFont="1"/>
    <xf numFmtId="0" fontId="8" fillId="9" borderId="10" xfId="0" applyFont="1" applyFill="1" applyBorder="1" applyAlignment="1">
      <alignment horizontal="center" vertical="center" wrapText="1"/>
    </xf>
    <xf numFmtId="0" fontId="8" fillId="9" borderId="4" xfId="0" applyFont="1" applyFill="1" applyBorder="1"/>
    <xf numFmtId="14" fontId="8" fillId="9" borderId="4" xfId="0" applyNumberFormat="1" applyFont="1" applyFill="1" applyBorder="1"/>
    <xf numFmtId="9" fontId="8" fillId="9" borderId="4" xfId="2" applyFont="1" applyFill="1" applyBorder="1" applyAlignment="1">
      <alignment horizontal="center" vertical="center" wrapText="1"/>
    </xf>
    <xf numFmtId="167" fontId="8" fillId="9" borderId="4" xfId="0" applyNumberFormat="1" applyFont="1" applyFill="1" applyBorder="1"/>
    <xf numFmtId="168" fontId="8" fillId="9" borderId="4" xfId="4" applyNumberFormat="1" applyFont="1" applyFill="1" applyBorder="1"/>
    <xf numFmtId="4" fontId="8" fillId="9" borderId="4" xfId="1" applyNumberFormat="1" applyFont="1" applyFill="1" applyBorder="1" applyAlignment="1">
      <alignment horizontal="center"/>
    </xf>
    <xf numFmtId="10" fontId="8" fillId="9" borderId="4" xfId="0" applyNumberFormat="1" applyFont="1" applyFill="1" applyBorder="1" applyAlignment="1">
      <alignment horizontal="center" vertical="center" wrapText="1"/>
    </xf>
    <xf numFmtId="166" fontId="8" fillId="9" borderId="4" xfId="0" applyNumberFormat="1" applyFont="1" applyFill="1" applyBorder="1"/>
    <xf numFmtId="0" fontId="8" fillId="9" borderId="10" xfId="0" applyFont="1" applyFill="1" applyBorder="1" applyAlignment="1">
      <alignment horizontal="center"/>
    </xf>
    <xf numFmtId="0" fontId="8" fillId="9" borderId="12" xfId="0" applyFont="1" applyFill="1" applyBorder="1" applyAlignment="1">
      <alignment horizontal="center"/>
    </xf>
    <xf numFmtId="4" fontId="8" fillId="9" borderId="10" xfId="0" applyNumberFormat="1" applyFont="1" applyFill="1" applyBorder="1" applyAlignment="1">
      <alignment horizontal="right"/>
    </xf>
    <xf numFmtId="0" fontId="8" fillId="9" borderId="12" xfId="0" applyFont="1" applyFill="1" applyBorder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8" xfId="0" quotePrefix="1" applyFont="1" applyBorder="1" applyAlignment="1">
      <alignment horizontal="center" vertical="center" wrapText="1"/>
    </xf>
    <xf numFmtId="0" fontId="7" fillId="0" borderId="19" xfId="0" quotePrefix="1" applyFont="1" applyBorder="1" applyAlignment="1">
      <alignment horizontal="center" vertical="center" wrapText="1"/>
    </xf>
    <xf numFmtId="0" fontId="7" fillId="0" borderId="14" xfId="0" quotePrefix="1" applyFont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center" vertical="center" wrapText="1"/>
    </xf>
    <xf numFmtId="0" fontId="8" fillId="9" borderId="39" xfId="0" applyFont="1" applyFill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</cellXfs>
  <cellStyles count="5">
    <cellStyle name="Millares" xfId="1" builtinId="3"/>
    <cellStyle name="Moneda" xfId="4" builtinId="4"/>
    <cellStyle name="Normal" xfId="0" builtinId="0"/>
    <cellStyle name="Normal 2 2" xfId="3"/>
    <cellStyle name="Porcentaje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750093</xdr:colOff>
      <xdr:row>0</xdr:row>
      <xdr:rowOff>11910</xdr:rowOff>
    </xdr:from>
    <xdr:to>
      <xdr:col>2</xdr:col>
      <xdr:colOff>987303</xdr:colOff>
      <xdr:row>6</xdr:row>
      <xdr:rowOff>75406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093" y="11910"/>
          <a:ext cx="1876304" cy="129777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695664</xdr:colOff>
      <xdr:row>0</xdr:row>
      <xdr:rowOff>11911</xdr:rowOff>
    </xdr:from>
    <xdr:to>
      <xdr:col>2</xdr:col>
      <xdr:colOff>478353</xdr:colOff>
      <xdr:row>5</xdr:row>
      <xdr:rowOff>75595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664" y="11911"/>
          <a:ext cx="1284175" cy="111143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695664</xdr:colOff>
      <xdr:row>0</xdr:row>
      <xdr:rowOff>11911</xdr:rowOff>
    </xdr:from>
    <xdr:to>
      <xdr:col>2</xdr:col>
      <xdr:colOff>408214</xdr:colOff>
      <xdr:row>5</xdr:row>
      <xdr:rowOff>75595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664" y="11911"/>
          <a:ext cx="1290979" cy="10842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</xdr:rowOff>
    </xdr:from>
    <xdr:to>
      <xdr:col>2</xdr:col>
      <xdr:colOff>333995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90501"/>
          <a:ext cx="895970" cy="7524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82"/>
  <sheetViews>
    <sheetView zoomScale="60" zoomScaleNormal="60" workbookViewId="0">
      <selection activeCell="D16" sqref="D16"/>
    </sheetView>
  </sheetViews>
  <sheetFormatPr baseColWidth="10" defaultColWidth="11.44140625" defaultRowHeight="15.6" x14ac:dyDescent="0.3"/>
  <cols>
    <col min="1" max="1" width="11.44140625" style="55"/>
    <col min="2" max="2" width="13" style="55" bestFit="1" customWidth="1"/>
    <col min="3" max="3" width="48.6640625" style="55" customWidth="1"/>
    <col min="4" max="4" width="21.44140625" style="55" customWidth="1"/>
    <col min="5" max="5" width="22.109375" style="55" customWidth="1"/>
    <col min="6" max="6" width="29" style="55" bestFit="1" customWidth="1"/>
    <col min="7" max="7" width="26.88671875" style="55" bestFit="1" customWidth="1"/>
    <col min="8" max="8" width="29.109375" style="55" customWidth="1"/>
    <col min="9" max="9" width="25.88671875" style="55" bestFit="1" customWidth="1"/>
    <col min="10" max="10" width="29" style="55" customWidth="1"/>
    <col min="11" max="11" width="13" style="55" customWidth="1"/>
    <col min="12" max="12" width="11.33203125" style="55" bestFit="1" customWidth="1"/>
    <col min="13" max="13" width="25.109375" style="55" customWidth="1"/>
    <col min="14" max="14" width="24.6640625" style="55" customWidth="1"/>
    <col min="15" max="15" width="26.88671875" style="55" bestFit="1" customWidth="1"/>
    <col min="16" max="16" width="21.5546875" style="55" bestFit="1" customWidth="1"/>
    <col min="17" max="17" width="17" style="55" bestFit="1" customWidth="1"/>
    <col min="18" max="18" width="18.6640625" style="55" bestFit="1" customWidth="1"/>
    <col min="19" max="19" width="17" style="55" bestFit="1" customWidth="1"/>
    <col min="20" max="20" width="18.6640625" style="55" bestFit="1" customWidth="1"/>
    <col min="21" max="21" width="28.109375" style="55" customWidth="1"/>
    <col min="22" max="22" width="21.5546875" style="55" bestFit="1" customWidth="1"/>
    <col min="23" max="23" width="11.44140625" style="55"/>
    <col min="24" max="24" width="8" style="55" customWidth="1"/>
    <col min="25" max="25" width="16.5546875" style="55" customWidth="1"/>
    <col min="26" max="26" width="14.44140625" style="55" customWidth="1"/>
    <col min="27" max="27" width="21.33203125" style="55" bestFit="1" customWidth="1"/>
    <col min="28" max="28" width="10.33203125" style="55" customWidth="1"/>
    <col min="29" max="16384" width="11.44140625" style="55"/>
  </cols>
  <sheetData>
    <row r="2" spans="2:28" ht="15.75" x14ac:dyDescent="0.25">
      <c r="B2" s="167" t="s">
        <v>75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2:28" x14ac:dyDescent="0.3">
      <c r="B3" s="167" t="s">
        <v>76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</row>
    <row r="4" spans="2:28" x14ac:dyDescent="0.3">
      <c r="B4" s="167" t="s">
        <v>119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</row>
    <row r="5" spans="2:28" ht="15.75" x14ac:dyDescent="0.2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</row>
    <row r="6" spans="2:28" ht="15.75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</row>
    <row r="7" spans="2:28" ht="16.5" thickBot="1" x14ac:dyDescent="0.3"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</row>
    <row r="8" spans="2:28" ht="76.5" customHeight="1" thickBot="1" x14ac:dyDescent="0.35">
      <c r="B8" s="169" t="s">
        <v>0</v>
      </c>
      <c r="C8" s="170"/>
      <c r="D8" s="170"/>
      <c r="E8" s="170"/>
      <c r="F8" s="175" t="s">
        <v>2</v>
      </c>
      <c r="G8" s="177"/>
      <c r="H8" s="177"/>
      <c r="I8" s="177"/>
      <c r="J8" s="177"/>
      <c r="K8" s="177"/>
      <c r="L8" s="177"/>
      <c r="M8" s="177"/>
      <c r="N8" s="176"/>
      <c r="O8" s="175" t="s">
        <v>9</v>
      </c>
      <c r="P8" s="176"/>
      <c r="Q8" s="170" t="s">
        <v>12</v>
      </c>
      <c r="R8" s="170"/>
      <c r="S8" s="175" t="s">
        <v>14</v>
      </c>
      <c r="T8" s="176"/>
      <c r="U8" s="170" t="s">
        <v>15</v>
      </c>
      <c r="V8" s="170"/>
      <c r="W8" s="183" t="s">
        <v>16</v>
      </c>
      <c r="X8" s="184"/>
      <c r="Y8" s="183" t="s">
        <v>93</v>
      </c>
      <c r="Z8" s="184"/>
      <c r="AA8" s="183" t="s">
        <v>88</v>
      </c>
      <c r="AB8" s="184"/>
    </row>
    <row r="9" spans="2:28" ht="49.5" customHeight="1" thickBot="1" x14ac:dyDescent="0.35">
      <c r="B9" s="169" t="s">
        <v>17</v>
      </c>
      <c r="C9" s="172" t="s">
        <v>1</v>
      </c>
      <c r="D9" s="172" t="s">
        <v>74</v>
      </c>
      <c r="E9" s="172" t="s">
        <v>78</v>
      </c>
      <c r="F9" s="170" t="s">
        <v>3</v>
      </c>
      <c r="G9" s="172" t="s">
        <v>4</v>
      </c>
      <c r="H9" s="170" t="s">
        <v>5</v>
      </c>
      <c r="I9" s="172" t="s">
        <v>6</v>
      </c>
      <c r="J9" s="172" t="s">
        <v>27</v>
      </c>
      <c r="K9" s="170" t="s">
        <v>116</v>
      </c>
      <c r="L9" s="172" t="s">
        <v>7</v>
      </c>
      <c r="M9" s="172" t="s">
        <v>72</v>
      </c>
      <c r="N9" s="178" t="s">
        <v>8</v>
      </c>
      <c r="O9" s="177" t="s">
        <v>26</v>
      </c>
      <c r="P9" s="177"/>
      <c r="Q9" s="180" t="s">
        <v>25</v>
      </c>
      <c r="R9" s="181"/>
      <c r="S9" s="182" t="s">
        <v>23</v>
      </c>
      <c r="T9" s="182"/>
      <c r="U9" s="180" t="s">
        <v>24</v>
      </c>
      <c r="V9" s="181"/>
      <c r="W9" s="171" t="s">
        <v>89</v>
      </c>
      <c r="X9" s="179"/>
      <c r="Y9" s="169" t="s">
        <v>92</v>
      </c>
      <c r="Z9" s="172" t="s">
        <v>91</v>
      </c>
      <c r="AA9" s="169" t="s">
        <v>91</v>
      </c>
      <c r="AB9" s="178"/>
    </row>
    <row r="10" spans="2:28" ht="21" customHeight="1" thickBot="1" x14ac:dyDescent="0.35">
      <c r="B10" s="171"/>
      <c r="C10" s="173"/>
      <c r="D10" s="173"/>
      <c r="E10" s="173"/>
      <c r="F10" s="174"/>
      <c r="G10" s="173"/>
      <c r="H10" s="174"/>
      <c r="I10" s="173"/>
      <c r="J10" s="173"/>
      <c r="K10" s="174"/>
      <c r="L10" s="173"/>
      <c r="M10" s="173"/>
      <c r="N10" s="179"/>
      <c r="O10" s="57"/>
      <c r="P10" s="58">
        <v>0.4</v>
      </c>
      <c r="Q10" s="59"/>
      <c r="R10" s="60">
        <v>1.2</v>
      </c>
      <c r="S10" s="57"/>
      <c r="T10" s="60">
        <v>0.85</v>
      </c>
      <c r="U10" s="59"/>
      <c r="V10" s="60">
        <v>0.55000000000000004</v>
      </c>
      <c r="W10" s="171"/>
      <c r="X10" s="179"/>
      <c r="Y10" s="171"/>
      <c r="Z10" s="173"/>
      <c r="AA10" s="171"/>
      <c r="AB10" s="179"/>
    </row>
    <row r="11" spans="2:28" ht="45" customHeight="1" thickBot="1" x14ac:dyDescent="0.35">
      <c r="B11" s="171"/>
      <c r="C11" s="173"/>
      <c r="D11" s="173"/>
      <c r="E11" s="173"/>
      <c r="F11" s="174"/>
      <c r="G11" s="173"/>
      <c r="H11" s="174"/>
      <c r="I11" s="173"/>
      <c r="J11" s="173"/>
      <c r="K11" s="174"/>
      <c r="L11" s="173"/>
      <c r="M11" s="173"/>
      <c r="N11" s="179"/>
      <c r="O11" s="61" t="s">
        <v>10</v>
      </c>
      <c r="P11" s="62" t="s">
        <v>11</v>
      </c>
      <c r="Q11" s="62" t="s">
        <v>13</v>
      </c>
      <c r="R11" s="63" t="s">
        <v>11</v>
      </c>
      <c r="S11" s="62" t="s">
        <v>13</v>
      </c>
      <c r="T11" s="61" t="s">
        <v>11</v>
      </c>
      <c r="U11" s="62" t="s">
        <v>73</v>
      </c>
      <c r="V11" s="63" t="s">
        <v>11</v>
      </c>
      <c r="W11" s="171"/>
      <c r="X11" s="179"/>
      <c r="Y11" s="198"/>
      <c r="Z11" s="195"/>
      <c r="AA11" s="171"/>
      <c r="AB11" s="179"/>
    </row>
    <row r="12" spans="2:28" ht="15" customHeight="1" thickBot="1" x14ac:dyDescent="0.35">
      <c r="B12" s="64">
        <v>1</v>
      </c>
      <c r="C12" s="65" t="s">
        <v>127</v>
      </c>
      <c r="D12" s="65"/>
      <c r="E12" s="66">
        <f>SUM(E13:E17)</f>
        <v>1</v>
      </c>
      <c r="F12" s="67">
        <f>SUM(F13:F17)</f>
        <v>2309341527589</v>
      </c>
      <c r="G12" s="67">
        <f t="shared" ref="G12:I12" si="0">SUM(G13:G17)</f>
        <v>2604722316634</v>
      </c>
      <c r="H12" s="67">
        <f t="shared" si="0"/>
        <v>1882974156180</v>
      </c>
      <c r="I12" s="67">
        <f t="shared" si="0"/>
        <v>2118854911664</v>
      </c>
      <c r="J12" s="67">
        <f>G12-I12</f>
        <v>485867404970</v>
      </c>
      <c r="K12" s="68">
        <v>1</v>
      </c>
      <c r="L12" s="68">
        <v>24</v>
      </c>
      <c r="M12" s="67">
        <v>99315662209</v>
      </c>
      <c r="N12" s="69">
        <f>M12*$P$10</f>
        <v>39726264883.599998</v>
      </c>
      <c r="O12" s="70">
        <f>SUM(O13:O15)</f>
        <v>426367371409</v>
      </c>
      <c r="P12" s="71" t="str">
        <f>+IF(M12="","",IF(O12&gt;=N12,"ADMISIBLE","NO ADMISIBLE"))</f>
        <v>ADMISIBLE</v>
      </c>
      <c r="Q12" s="72">
        <f>F12/H12</f>
        <v>1.2264329385560839</v>
      </c>
      <c r="R12" s="71" t="str">
        <f>IF(M12="","",IF(Q12&gt;=$R$10,"ADMISIBLE","NO ADMISIBLE"))</f>
        <v>ADMISIBLE</v>
      </c>
      <c r="S12" s="73">
        <f>I12/G12</f>
        <v>0.81346671702115603</v>
      </c>
      <c r="T12" s="71" t="str">
        <f>IF(M12="","",IF(S12&lt;$T$10,"ADMISIBLE","NO ADMISIBLE"))</f>
        <v>ADMISIBLE</v>
      </c>
      <c r="U12" s="74">
        <f>SUM(U13:U15)</f>
        <v>485867404970</v>
      </c>
      <c r="V12" s="71" t="str">
        <f>IF(U12="","",IF(J12&gt;=U12,"ADMISIBLE","NO ADMISIBLE"))</f>
        <v>ADMISIBLE</v>
      </c>
      <c r="W12" s="193" t="str">
        <f>IF(M12="","",IF(P12="NO ADMISIBLE","NO ADMISIBLE",IF(R12="NO ADMISIBLE","NO ADMISIBLE",IF(T12="NO ADMISIBLE","NO ADMISIBLE",IF(V12="NO ADMISIBLE","NO ADMISIBLE","ADMISIBLE")))))</f>
        <v>ADMISIBLE</v>
      </c>
      <c r="X12" s="194"/>
      <c r="Y12" s="75">
        <f>SUM(Y13:Y17)</f>
        <v>5693</v>
      </c>
      <c r="Z12" s="76"/>
      <c r="AA12" s="77">
        <f>SUM(AA13:AA17)</f>
        <v>25199854.82</v>
      </c>
      <c r="AB12" s="78"/>
    </row>
    <row r="13" spans="2:28" ht="15.75" x14ac:dyDescent="0.25">
      <c r="B13" s="79" t="s">
        <v>18</v>
      </c>
      <c r="C13" s="80" t="s">
        <v>94</v>
      </c>
      <c r="D13" s="81">
        <v>41274</v>
      </c>
      <c r="E13" s="82">
        <v>0.35</v>
      </c>
      <c r="F13" s="83">
        <v>342888965000</v>
      </c>
      <c r="G13" s="83">
        <v>395232072000</v>
      </c>
      <c r="H13" s="83">
        <v>283507874000</v>
      </c>
      <c r="I13" s="83">
        <v>307671073000</v>
      </c>
      <c r="J13" s="83">
        <f>G13-I13</f>
        <v>87560999000</v>
      </c>
      <c r="K13" s="80"/>
      <c r="L13" s="80"/>
      <c r="M13" s="80"/>
      <c r="N13" s="84"/>
      <c r="O13" s="85">
        <f>F13-H13</f>
        <v>59381091000</v>
      </c>
      <c r="P13" s="80"/>
      <c r="Q13" s="86">
        <f t="shared" ref="Q13:Q15" si="1">SUM(F13/H13)</f>
        <v>1.2094512937584232</v>
      </c>
      <c r="R13" s="80"/>
      <c r="S13" s="87">
        <f t="shared" ref="S13:S15" si="2">SUM(I13/G13)</f>
        <v>0.77845674679963728</v>
      </c>
      <c r="T13" s="80"/>
      <c r="U13" s="88">
        <f>G13-I13</f>
        <v>87560999000</v>
      </c>
      <c r="V13" s="80"/>
      <c r="W13" s="189"/>
      <c r="X13" s="190"/>
      <c r="Y13" s="89">
        <v>5128</v>
      </c>
      <c r="Z13" s="90"/>
      <c r="AA13" s="91">
        <v>24635987.399999999</v>
      </c>
      <c r="AB13" s="92"/>
    </row>
    <row r="14" spans="2:28" x14ac:dyDescent="0.3">
      <c r="B14" s="154" t="s">
        <v>19</v>
      </c>
      <c r="C14" s="155" t="s">
        <v>95</v>
      </c>
      <c r="D14" s="156">
        <v>41274</v>
      </c>
      <c r="E14" s="157">
        <v>0.35</v>
      </c>
      <c r="F14" s="158">
        <v>1447858694589</v>
      </c>
      <c r="G14" s="158">
        <v>1577516426634</v>
      </c>
      <c r="H14" s="158">
        <v>1435586448180</v>
      </c>
      <c r="I14" s="158">
        <v>1444456487664</v>
      </c>
      <c r="J14" s="158">
        <f>G14-I14</f>
        <v>133059938970</v>
      </c>
      <c r="K14" s="155"/>
      <c r="L14" s="155"/>
      <c r="M14" s="155"/>
      <c r="N14" s="159"/>
      <c r="O14" s="158">
        <f t="shared" ref="O14:O15" si="3">F14-H14</f>
        <v>12272246409</v>
      </c>
      <c r="P14" s="155"/>
      <c r="Q14" s="160">
        <f t="shared" si="1"/>
        <v>1.0085485944956909</v>
      </c>
      <c r="R14" s="155"/>
      <c r="S14" s="161">
        <f t="shared" si="2"/>
        <v>0.91565226407568101</v>
      </c>
      <c r="T14" s="155"/>
      <c r="U14" s="162">
        <f t="shared" ref="U14:U15" si="4">G14-I14</f>
        <v>133059938970</v>
      </c>
      <c r="V14" s="155"/>
      <c r="W14" s="196"/>
      <c r="X14" s="197"/>
      <c r="Y14" s="163"/>
      <c r="Z14" s="164"/>
      <c r="AA14" s="165"/>
      <c r="AB14" s="166"/>
    </row>
    <row r="15" spans="2:28" ht="15.75" x14ac:dyDescent="0.25">
      <c r="B15" s="79" t="s">
        <v>20</v>
      </c>
      <c r="C15" s="80" t="s">
        <v>96</v>
      </c>
      <c r="D15" s="81">
        <v>41274</v>
      </c>
      <c r="E15" s="82">
        <v>0.3</v>
      </c>
      <c r="F15" s="83">
        <v>518593868000</v>
      </c>
      <c r="G15" s="83">
        <v>631973818000</v>
      </c>
      <c r="H15" s="83">
        <v>163879834000</v>
      </c>
      <c r="I15" s="83">
        <v>366727351000</v>
      </c>
      <c r="J15" s="83">
        <f t="shared" ref="J15" si="5">G15-I15</f>
        <v>265246467000</v>
      </c>
      <c r="K15" s="80"/>
      <c r="L15" s="80"/>
      <c r="M15" s="80"/>
      <c r="N15" s="84"/>
      <c r="O15" s="85">
        <f t="shared" si="3"/>
        <v>354714034000</v>
      </c>
      <c r="P15" s="80"/>
      <c r="Q15" s="93">
        <f t="shared" si="1"/>
        <v>3.1644764053153729</v>
      </c>
      <c r="R15" s="80"/>
      <c r="S15" s="94">
        <f t="shared" si="2"/>
        <v>0.5802888356365421</v>
      </c>
      <c r="T15" s="80"/>
      <c r="U15" s="95">
        <f t="shared" si="4"/>
        <v>265246467000</v>
      </c>
      <c r="V15" s="80"/>
      <c r="W15" s="189" t="s">
        <v>123</v>
      </c>
      <c r="X15" s="190"/>
      <c r="Y15" s="89">
        <v>565</v>
      </c>
      <c r="Z15" s="90"/>
      <c r="AA15" s="91">
        <v>563867.42000000004</v>
      </c>
      <c r="AB15" s="92"/>
    </row>
    <row r="16" spans="2:28" ht="15.75" x14ac:dyDescent="0.25">
      <c r="B16" s="79" t="s">
        <v>21</v>
      </c>
      <c r="C16" s="80"/>
      <c r="D16" s="80"/>
      <c r="E16" s="82"/>
      <c r="F16" s="96"/>
      <c r="G16" s="96"/>
      <c r="H16" s="96"/>
      <c r="I16" s="96"/>
      <c r="J16" s="96"/>
      <c r="K16" s="80"/>
      <c r="L16" s="80"/>
      <c r="M16" s="80"/>
      <c r="N16" s="80"/>
      <c r="O16" s="80"/>
      <c r="P16" s="80"/>
      <c r="Q16" s="97"/>
      <c r="R16" s="80"/>
      <c r="S16" s="98"/>
      <c r="T16" s="80"/>
      <c r="U16" s="80"/>
      <c r="V16" s="80"/>
      <c r="W16" s="189"/>
      <c r="X16" s="190"/>
      <c r="Y16" s="89"/>
      <c r="Z16" s="90"/>
      <c r="AA16" s="91"/>
      <c r="AB16" s="92"/>
    </row>
    <row r="17" spans="2:28" ht="15.75" x14ac:dyDescent="0.25">
      <c r="B17" s="79" t="s">
        <v>22</v>
      </c>
      <c r="C17" s="80"/>
      <c r="D17" s="80"/>
      <c r="E17" s="82"/>
      <c r="F17" s="96"/>
      <c r="G17" s="96"/>
      <c r="H17" s="96"/>
      <c r="I17" s="96"/>
      <c r="J17" s="96"/>
      <c r="K17" s="80"/>
      <c r="L17" s="80"/>
      <c r="M17" s="80"/>
      <c r="N17" s="80"/>
      <c r="O17" s="80"/>
      <c r="P17" s="80"/>
      <c r="Q17" s="97"/>
      <c r="R17" s="80"/>
      <c r="S17" s="98"/>
      <c r="T17" s="80"/>
      <c r="U17" s="80"/>
      <c r="V17" s="80"/>
      <c r="W17" s="189"/>
      <c r="X17" s="190"/>
      <c r="Y17" s="89"/>
      <c r="Z17" s="90"/>
      <c r="AA17" s="91"/>
      <c r="AB17" s="92"/>
    </row>
    <row r="18" spans="2:28" ht="15.75" x14ac:dyDescent="0.25">
      <c r="B18" s="99">
        <v>2</v>
      </c>
      <c r="C18" s="100" t="s">
        <v>106</v>
      </c>
      <c r="D18" s="100"/>
      <c r="E18" s="101">
        <f>SUM(E19:E24)</f>
        <v>1</v>
      </c>
      <c r="F18" s="102">
        <f>SUM(F19:F24)</f>
        <v>453322406579.45001</v>
      </c>
      <c r="G18" s="102">
        <f t="shared" ref="G18" si="6">SUM(G19:G24)</f>
        <v>578256806882.31995</v>
      </c>
      <c r="H18" s="102">
        <f t="shared" ref="H18:I18" si="7">SUM(H19:H24)</f>
        <v>366841709171.34003</v>
      </c>
      <c r="I18" s="102">
        <f t="shared" si="7"/>
        <v>443318661020.84998</v>
      </c>
      <c r="J18" s="102">
        <f>SUM(J19:J24)</f>
        <v>134938145861.47</v>
      </c>
      <c r="K18" s="103">
        <v>1</v>
      </c>
      <c r="L18" s="103">
        <v>24</v>
      </c>
      <c r="M18" s="104">
        <v>99315662209</v>
      </c>
      <c r="N18" s="105">
        <f>M18*$P$10</f>
        <v>39726264883.599998</v>
      </c>
      <c r="O18" s="106">
        <f>SUM(O19:O24)</f>
        <v>86480697408.110001</v>
      </c>
      <c r="P18" s="107" t="str">
        <f>+IF(M18="","",IF(O18&gt;=N18,"ADMISIBLE","NO ADMISIBLE"))</f>
        <v>ADMISIBLE</v>
      </c>
      <c r="Q18" s="108">
        <f>F18/H18</f>
        <v>1.2357439060118369</v>
      </c>
      <c r="R18" s="107" t="str">
        <f>IF(M18="","",IF(Q18&gt;=$R$10,"ADMISIBLE","NO ADMISIBLE"))</f>
        <v>ADMISIBLE</v>
      </c>
      <c r="S18" s="109">
        <f>SUM(I18/G18)</f>
        <v>0.76664667971832279</v>
      </c>
      <c r="T18" s="110" t="str">
        <f>IF(M18="","",IF(S18&lt;$T$10,"ADMISIBLE","NO ADMISIBLE"))</f>
        <v>ADMISIBLE</v>
      </c>
      <c r="U18" s="111">
        <f>+G18-I18</f>
        <v>134938145861.46997</v>
      </c>
      <c r="V18" s="107" t="str">
        <f>IF(U18="","",IF(J18&gt;=U18,"ADMISIBLE","NO ADMISIBLE"))</f>
        <v>ADMISIBLE</v>
      </c>
      <c r="W18" s="185" t="str">
        <f>IF(M18="","",IF(P18="NO ADMISIBLE","NO ADMISIBLE",IF(R18="NO ADMISIBLE","NO ADMISIBLE",IF(T18="NO ADMISIBLE","NO ADMISIBLE",IF(V18="NO ADMISIBLE","NO ADMISIBLE","ADMISIBLE")))))</f>
        <v>ADMISIBLE</v>
      </c>
      <c r="X18" s="186"/>
      <c r="Y18" s="112">
        <f>SUM(Y19:Y24)</f>
        <v>9679</v>
      </c>
      <c r="Z18" s="113"/>
      <c r="AA18" s="114">
        <f>SUM(AA19:AA24)</f>
        <v>8068055.5700000003</v>
      </c>
      <c r="AB18" s="115"/>
    </row>
    <row r="19" spans="2:28" ht="15.75" x14ac:dyDescent="0.25">
      <c r="B19" s="79" t="s">
        <v>28</v>
      </c>
      <c r="C19" s="96" t="s">
        <v>110</v>
      </c>
      <c r="D19" s="81">
        <v>41274</v>
      </c>
      <c r="E19" s="82">
        <v>0.05</v>
      </c>
      <c r="F19" s="116">
        <v>377160814</v>
      </c>
      <c r="G19" s="116">
        <v>2296534816</v>
      </c>
      <c r="H19" s="116">
        <v>68794647</v>
      </c>
      <c r="I19" s="116">
        <v>68794647</v>
      </c>
      <c r="J19" s="117">
        <f t="shared" ref="J19:J25" si="8">G19-I19</f>
        <v>2227740169</v>
      </c>
      <c r="K19" s="80"/>
      <c r="L19" s="80"/>
      <c r="M19" s="80"/>
      <c r="N19" s="118"/>
      <c r="O19" s="119">
        <f>F19-H19</f>
        <v>308366167</v>
      </c>
      <c r="P19" s="96"/>
      <c r="Q19" s="120">
        <f t="shared" ref="Q19:Q24" si="9">SUM(F19/H19)</f>
        <v>5.4824151361660451</v>
      </c>
      <c r="R19" s="96"/>
      <c r="S19" s="121">
        <f t="shared" ref="S19:S24" si="10">SUM(I19/G19)</f>
        <v>2.9955847619076548E-2</v>
      </c>
      <c r="T19" s="80"/>
      <c r="U19" s="95">
        <f t="shared" ref="U19:U24" si="11">+G19-I19</f>
        <v>2227740169</v>
      </c>
      <c r="V19" s="80"/>
      <c r="W19" s="189"/>
      <c r="X19" s="190"/>
      <c r="Y19" s="89">
        <v>8</v>
      </c>
      <c r="Z19" s="90"/>
      <c r="AA19" s="91">
        <v>0</v>
      </c>
      <c r="AB19" s="92"/>
    </row>
    <row r="20" spans="2:28" ht="51.75" customHeight="1" x14ac:dyDescent="0.25">
      <c r="B20" s="79" t="s">
        <v>29</v>
      </c>
      <c r="C20" s="122" t="s">
        <v>107</v>
      </c>
      <c r="D20" s="81">
        <v>41274</v>
      </c>
      <c r="E20" s="82">
        <v>0.5</v>
      </c>
      <c r="F20" s="116"/>
      <c r="G20" s="116"/>
      <c r="H20" s="116"/>
      <c r="I20" s="116"/>
      <c r="J20" s="117">
        <f t="shared" si="8"/>
        <v>0</v>
      </c>
      <c r="K20" s="80"/>
      <c r="L20" s="80"/>
      <c r="M20" s="80"/>
      <c r="N20" s="118"/>
      <c r="O20" s="119">
        <f t="shared" ref="O20:O24" si="12">F20-H20</f>
        <v>0</v>
      </c>
      <c r="P20" s="96"/>
      <c r="Q20" s="120"/>
      <c r="R20" s="96"/>
      <c r="S20" s="121"/>
      <c r="T20" s="80"/>
      <c r="U20" s="95">
        <f t="shared" si="11"/>
        <v>0</v>
      </c>
      <c r="V20" s="123"/>
      <c r="W20" s="189"/>
      <c r="X20" s="190"/>
      <c r="Y20" s="89">
        <v>3388</v>
      </c>
      <c r="Z20" s="90"/>
      <c r="AA20" s="91">
        <v>7208776.8600000003</v>
      </c>
      <c r="AB20" s="92"/>
    </row>
    <row r="21" spans="2:28" ht="25.5" customHeight="1" x14ac:dyDescent="0.25">
      <c r="B21" s="79" t="s">
        <v>30</v>
      </c>
      <c r="C21" s="96" t="s">
        <v>108</v>
      </c>
      <c r="D21" s="81">
        <v>41274</v>
      </c>
      <c r="E21" s="82">
        <v>0.1</v>
      </c>
      <c r="F21" s="116">
        <v>388086297955</v>
      </c>
      <c r="G21" s="116">
        <v>495597730627</v>
      </c>
      <c r="H21" s="116">
        <v>343722571293</v>
      </c>
      <c r="I21" s="116">
        <v>394746261418</v>
      </c>
      <c r="J21" s="117">
        <f t="shared" si="8"/>
        <v>100851469209</v>
      </c>
      <c r="K21" s="80"/>
      <c r="L21" s="80"/>
      <c r="M21" s="80"/>
      <c r="N21" s="118"/>
      <c r="O21" s="119">
        <f t="shared" si="12"/>
        <v>44363726662</v>
      </c>
      <c r="P21" s="96"/>
      <c r="Q21" s="120">
        <f t="shared" si="9"/>
        <v>1.1290684126303214</v>
      </c>
      <c r="R21" s="96"/>
      <c r="S21" s="121">
        <f t="shared" si="10"/>
        <v>0.79650538536282467</v>
      </c>
      <c r="T21" s="80"/>
      <c r="U21" s="95">
        <f t="shared" si="11"/>
        <v>100851469209</v>
      </c>
      <c r="V21" s="80"/>
      <c r="W21" s="189"/>
      <c r="X21" s="190"/>
      <c r="Y21" s="89">
        <f>218+472+416+416+4044</f>
        <v>5566</v>
      </c>
      <c r="Z21" s="90"/>
      <c r="AA21" s="91">
        <v>638211</v>
      </c>
      <c r="AB21" s="92"/>
    </row>
    <row r="22" spans="2:28" ht="31.5" x14ac:dyDescent="0.25">
      <c r="B22" s="79" t="s">
        <v>31</v>
      </c>
      <c r="C22" s="122" t="s">
        <v>109</v>
      </c>
      <c r="D22" s="81">
        <v>41274</v>
      </c>
      <c r="E22" s="82">
        <v>0.05</v>
      </c>
      <c r="F22" s="116">
        <v>18087569121</v>
      </c>
      <c r="G22" s="116">
        <v>25234406511</v>
      </c>
      <c r="H22" s="116">
        <v>17158851050</v>
      </c>
      <c r="I22" s="116">
        <v>18944123781</v>
      </c>
      <c r="J22" s="116">
        <f t="shared" si="8"/>
        <v>6290282730</v>
      </c>
      <c r="K22" s="80"/>
      <c r="L22" s="80"/>
      <c r="M22" s="80"/>
      <c r="N22" s="118"/>
      <c r="O22" s="119">
        <f t="shared" si="12"/>
        <v>928718071</v>
      </c>
      <c r="P22" s="96"/>
      <c r="Q22" s="120">
        <f t="shared" si="9"/>
        <v>1.0541247236364348</v>
      </c>
      <c r="R22" s="96"/>
      <c r="S22" s="121">
        <f t="shared" si="10"/>
        <v>0.7507259492210373</v>
      </c>
      <c r="T22" s="80"/>
      <c r="U22" s="95">
        <f t="shared" si="11"/>
        <v>6290282730</v>
      </c>
      <c r="V22" s="80"/>
      <c r="W22" s="189"/>
      <c r="X22" s="190"/>
      <c r="Y22" s="89">
        <f>55+14+114+241</f>
        <v>424</v>
      </c>
      <c r="Z22" s="90"/>
      <c r="AA22" s="91">
        <v>78121.070000000007</v>
      </c>
      <c r="AB22" s="92"/>
    </row>
    <row r="23" spans="2:28" ht="15.75" x14ac:dyDescent="0.25">
      <c r="B23" s="79">
        <v>2.5</v>
      </c>
      <c r="C23" s="96" t="s">
        <v>111</v>
      </c>
      <c r="D23" s="81">
        <v>41274</v>
      </c>
      <c r="E23" s="82">
        <v>0.15</v>
      </c>
      <c r="F23" s="116">
        <v>43969505671.449997</v>
      </c>
      <c r="G23" s="116">
        <v>50411274778.32</v>
      </c>
      <c r="H23" s="116">
        <v>5168898676.3400002</v>
      </c>
      <c r="I23" s="116">
        <v>26754211039.849998</v>
      </c>
      <c r="J23" s="116">
        <f t="shared" si="8"/>
        <v>23657063738.470001</v>
      </c>
      <c r="K23" s="80"/>
      <c r="L23" s="80"/>
      <c r="M23" s="80"/>
      <c r="N23" s="118"/>
      <c r="O23" s="119">
        <f t="shared" si="12"/>
        <v>38800606995.110001</v>
      </c>
      <c r="P23" s="96"/>
      <c r="Q23" s="120">
        <f t="shared" si="9"/>
        <v>8.5065520577362097</v>
      </c>
      <c r="R23" s="96"/>
      <c r="S23" s="121">
        <f t="shared" si="10"/>
        <v>0.53071879569599745</v>
      </c>
      <c r="T23" s="80"/>
      <c r="U23" s="95">
        <f t="shared" si="11"/>
        <v>23657063738.470001</v>
      </c>
      <c r="V23" s="80"/>
      <c r="W23" s="189"/>
      <c r="X23" s="190"/>
      <c r="Y23" s="89">
        <v>277</v>
      </c>
      <c r="Z23" s="90"/>
      <c r="AA23" s="91">
        <v>127069.14</v>
      </c>
      <c r="AB23" s="92"/>
    </row>
    <row r="24" spans="2:28" ht="15.75" x14ac:dyDescent="0.25">
      <c r="B24" s="79" t="s">
        <v>87</v>
      </c>
      <c r="C24" s="96" t="s">
        <v>112</v>
      </c>
      <c r="D24" s="81">
        <v>41274</v>
      </c>
      <c r="E24" s="82">
        <v>0.15</v>
      </c>
      <c r="F24" s="116">
        <v>2801873018</v>
      </c>
      <c r="G24" s="116">
        <v>4716860150</v>
      </c>
      <c r="H24" s="116">
        <v>722593505</v>
      </c>
      <c r="I24" s="116">
        <v>2805270135</v>
      </c>
      <c r="J24" s="116">
        <f t="shared" si="8"/>
        <v>1911590015</v>
      </c>
      <c r="K24" s="80"/>
      <c r="L24" s="80"/>
      <c r="M24" s="80"/>
      <c r="N24" s="118"/>
      <c r="O24" s="119">
        <f t="shared" si="12"/>
        <v>2079279513</v>
      </c>
      <c r="P24" s="96"/>
      <c r="Q24" s="120">
        <f t="shared" si="9"/>
        <v>3.8775231144653035</v>
      </c>
      <c r="R24" s="96"/>
      <c r="S24" s="121">
        <f t="shared" si="10"/>
        <v>0.59473252243868202</v>
      </c>
      <c r="T24" s="80"/>
      <c r="U24" s="95">
        <f t="shared" si="11"/>
        <v>1911590015</v>
      </c>
      <c r="V24" s="80"/>
      <c r="W24" s="189"/>
      <c r="X24" s="190"/>
      <c r="Y24" s="89">
        <v>16</v>
      </c>
      <c r="Z24" s="90"/>
      <c r="AA24" s="91">
        <v>15877.5</v>
      </c>
      <c r="AB24" s="92"/>
    </row>
    <row r="25" spans="2:28" ht="15.75" x14ac:dyDescent="0.25">
      <c r="B25" s="99">
        <v>3</v>
      </c>
      <c r="C25" s="100" t="s">
        <v>97</v>
      </c>
      <c r="D25" s="100"/>
      <c r="E25" s="101">
        <f>SUM(E26:E30)</f>
        <v>1</v>
      </c>
      <c r="F25" s="124">
        <f>SUM(F26:F30)</f>
        <v>408536143405</v>
      </c>
      <c r="G25" s="124">
        <f t="shared" ref="G25" si="13">SUM(G26:G30)</f>
        <v>878700911066</v>
      </c>
      <c r="H25" s="124">
        <f t="shared" ref="H25:I25" si="14">SUM(H26:H30)</f>
        <v>279747529217</v>
      </c>
      <c r="I25" s="124">
        <f t="shared" si="14"/>
        <v>437068369956</v>
      </c>
      <c r="J25" s="124">
        <f t="shared" si="8"/>
        <v>441632541110</v>
      </c>
      <c r="K25" s="103">
        <v>1</v>
      </c>
      <c r="L25" s="103">
        <v>24</v>
      </c>
      <c r="M25" s="104">
        <v>99315662209</v>
      </c>
      <c r="N25" s="105">
        <f>M25*$P$10</f>
        <v>39726264883.599998</v>
      </c>
      <c r="O25" s="106">
        <f>SUM(O26:O29)</f>
        <v>128788614188</v>
      </c>
      <c r="P25" s="107" t="str">
        <f>+IF(M25="","",IF(O25&gt;=N25,"ADMISIBLE","NO ADMISIBLE"))</f>
        <v>ADMISIBLE</v>
      </c>
      <c r="Q25" s="108">
        <f>F25/H25</f>
        <v>1.4603744474472149</v>
      </c>
      <c r="R25" s="107" t="str">
        <f>IF(M25="","",IF(Q25&gt;=$R$10,"ADMISIBLE","NO ADMISIBLE"))</f>
        <v>ADMISIBLE</v>
      </c>
      <c r="S25" s="109">
        <f>SUM(I25/G25)</f>
        <v>0.4974028869797899</v>
      </c>
      <c r="T25" s="110" t="str">
        <f>IF(M25="","",IF(S25&lt;$T$10,"ADMISIBLE","NO ADMISIBLE"))</f>
        <v>ADMISIBLE</v>
      </c>
      <c r="U25" s="111">
        <f>SUM(U26:U29)</f>
        <v>441632541110</v>
      </c>
      <c r="V25" s="107" t="str">
        <f>IF(U25="","",IF(J25&gt;=U25,"ADMISIBLE","NO ADMISIBLE"))</f>
        <v>ADMISIBLE</v>
      </c>
      <c r="W25" s="185" t="str">
        <f>IF(M25="","",IF(P25="NO ADMISIBLE","NO ADMISIBLE",IF(R25="NO ADMISIBLE","NO ADMISIBLE",IF(T25="NO ADMISIBLE","NO ADMISIBLE",IF(V25="NO ADMISIBLE","NO ADMISIBLE","ADMISIBLE")))))</f>
        <v>ADMISIBLE</v>
      </c>
      <c r="X25" s="186"/>
      <c r="Y25" s="112">
        <f>SUM(Y26:Y30)</f>
        <v>1358</v>
      </c>
      <c r="Z25" s="113"/>
      <c r="AA25" s="114">
        <f>SUM(AA26:AA30)</f>
        <v>1414548.8599999999</v>
      </c>
      <c r="AB25" s="115"/>
    </row>
    <row r="26" spans="2:28" ht="30.75" customHeight="1" x14ac:dyDescent="0.25">
      <c r="B26" s="79" t="s">
        <v>32</v>
      </c>
      <c r="C26" s="122" t="s">
        <v>101</v>
      </c>
      <c r="D26" s="81">
        <v>41274</v>
      </c>
      <c r="E26" s="82">
        <v>0.33</v>
      </c>
      <c r="F26" s="116">
        <v>278745952615</v>
      </c>
      <c r="G26" s="116">
        <v>425549618523</v>
      </c>
      <c r="H26" s="116">
        <v>216927217241</v>
      </c>
      <c r="I26" s="116">
        <v>265753362247</v>
      </c>
      <c r="J26" s="125">
        <f t="shared" ref="J26:J29" si="15">G26-I26</f>
        <v>159796256276</v>
      </c>
      <c r="K26" s="80"/>
      <c r="L26" s="80"/>
      <c r="M26" s="80"/>
      <c r="N26" s="105"/>
      <c r="O26" s="119">
        <f>F26-H26</f>
        <v>61818735374</v>
      </c>
      <c r="P26" s="96"/>
      <c r="Q26" s="120">
        <f t="shared" ref="Q26:Q29" si="16">SUM(F26/H26)</f>
        <v>1.2849745465794693</v>
      </c>
      <c r="R26" s="96"/>
      <c r="S26" s="121">
        <f t="shared" ref="S26:S29" si="17">SUM(I26/G26)</f>
        <v>0.62449442010870149</v>
      </c>
      <c r="T26" s="96"/>
      <c r="U26" s="95">
        <f>G26-I26</f>
        <v>159796256276</v>
      </c>
      <c r="V26" s="80"/>
      <c r="W26" s="189"/>
      <c r="X26" s="190"/>
      <c r="Y26" s="89">
        <v>234</v>
      </c>
      <c r="Z26" s="90"/>
      <c r="AA26" s="91">
        <v>1169213.1499999999</v>
      </c>
      <c r="AB26" s="92"/>
    </row>
    <row r="27" spans="2:28" ht="31.5" x14ac:dyDescent="0.25">
      <c r="B27" s="79" t="s">
        <v>33</v>
      </c>
      <c r="C27" s="122" t="s">
        <v>98</v>
      </c>
      <c r="D27" s="81">
        <v>41274</v>
      </c>
      <c r="E27" s="82">
        <v>0.33</v>
      </c>
      <c r="F27" s="116">
        <v>90292279328</v>
      </c>
      <c r="G27" s="116">
        <v>159667047498</v>
      </c>
      <c r="H27" s="116">
        <v>35678205588</v>
      </c>
      <c r="I27" s="116">
        <v>110370402487</v>
      </c>
      <c r="J27" s="125">
        <f t="shared" si="15"/>
        <v>49296645011</v>
      </c>
      <c r="K27" s="80"/>
      <c r="L27" s="80"/>
      <c r="M27" s="80"/>
      <c r="N27" s="80"/>
      <c r="O27" s="119">
        <f t="shared" ref="O27:O29" si="18">F27-H27</f>
        <v>54614073740</v>
      </c>
      <c r="P27" s="96"/>
      <c r="Q27" s="120">
        <f t="shared" si="16"/>
        <v>2.5307404854006696</v>
      </c>
      <c r="R27" s="96"/>
      <c r="S27" s="121">
        <f t="shared" si="17"/>
        <v>0.69125348164518741</v>
      </c>
      <c r="T27" s="96"/>
      <c r="U27" s="95">
        <f t="shared" ref="U27:U29" si="19">G27-I27</f>
        <v>49296645011</v>
      </c>
      <c r="V27" s="80"/>
      <c r="W27" s="189"/>
      <c r="X27" s="190"/>
      <c r="Y27" s="89">
        <v>514</v>
      </c>
      <c r="Z27" s="90"/>
      <c r="AA27" s="91">
        <v>201156.83</v>
      </c>
      <c r="AB27" s="92"/>
    </row>
    <row r="28" spans="2:28" ht="15.75" x14ac:dyDescent="0.25">
      <c r="B28" s="79" t="s">
        <v>34</v>
      </c>
      <c r="C28" s="80" t="s">
        <v>102</v>
      </c>
      <c r="D28" s="81">
        <v>41274</v>
      </c>
      <c r="E28" s="82">
        <v>0.01</v>
      </c>
      <c r="F28" s="116">
        <v>20951208000</v>
      </c>
      <c r="G28" s="116">
        <v>263157947000</v>
      </c>
      <c r="H28" s="116">
        <v>13436481000</v>
      </c>
      <c r="I28" s="116">
        <v>40112939000</v>
      </c>
      <c r="J28" s="125">
        <f t="shared" si="15"/>
        <v>223045008000</v>
      </c>
      <c r="K28" s="80"/>
      <c r="L28" s="80"/>
      <c r="M28" s="80"/>
      <c r="N28" s="80"/>
      <c r="O28" s="119">
        <f t="shared" si="18"/>
        <v>7514727000</v>
      </c>
      <c r="P28" s="96"/>
      <c r="Q28" s="120">
        <f t="shared" si="16"/>
        <v>1.5592779091489803</v>
      </c>
      <c r="R28" s="96"/>
      <c r="S28" s="121">
        <f t="shared" si="17"/>
        <v>0.15242913792757321</v>
      </c>
      <c r="T28" s="96"/>
      <c r="U28" s="95">
        <f t="shared" si="19"/>
        <v>223045008000</v>
      </c>
      <c r="V28" s="80"/>
      <c r="W28" s="189"/>
      <c r="X28" s="190"/>
      <c r="Y28" s="89">
        <v>556</v>
      </c>
      <c r="Z28" s="90"/>
      <c r="AA28" s="91"/>
      <c r="AB28" s="92"/>
    </row>
    <row r="29" spans="2:28" ht="15.75" x14ac:dyDescent="0.25">
      <c r="B29" s="79" t="s">
        <v>35</v>
      </c>
      <c r="C29" s="80" t="s">
        <v>100</v>
      </c>
      <c r="D29" s="81">
        <v>41639</v>
      </c>
      <c r="E29" s="82">
        <v>0.33</v>
      </c>
      <c r="F29" s="116">
        <v>18546703462</v>
      </c>
      <c r="G29" s="116">
        <v>30326298045</v>
      </c>
      <c r="H29" s="116">
        <v>13705625388</v>
      </c>
      <c r="I29" s="116">
        <v>20831666222</v>
      </c>
      <c r="J29" s="125">
        <f t="shared" si="15"/>
        <v>9494631823</v>
      </c>
      <c r="K29" s="80"/>
      <c r="L29" s="80">
        <v>24</v>
      </c>
      <c r="M29" s="80"/>
      <c r="N29" s="80"/>
      <c r="O29" s="119">
        <f t="shared" si="18"/>
        <v>4841078074</v>
      </c>
      <c r="P29" s="96"/>
      <c r="Q29" s="120">
        <f t="shared" si="16"/>
        <v>1.3532183272890721</v>
      </c>
      <c r="R29" s="96"/>
      <c r="S29" s="121">
        <f t="shared" si="17"/>
        <v>0.68691754565917373</v>
      </c>
      <c r="T29" s="96"/>
      <c r="U29" s="95">
        <f t="shared" si="19"/>
        <v>9494631823</v>
      </c>
      <c r="V29" s="80"/>
      <c r="W29" s="189"/>
      <c r="X29" s="190"/>
      <c r="Y29" s="89">
        <v>54</v>
      </c>
      <c r="Z29" s="90"/>
      <c r="AA29" s="91">
        <v>44178.879999999997</v>
      </c>
      <c r="AB29" s="92"/>
    </row>
    <row r="30" spans="2:28" ht="15.75" x14ac:dyDescent="0.25">
      <c r="B30" s="79" t="s">
        <v>36</v>
      </c>
      <c r="C30" s="80"/>
      <c r="D30" s="80"/>
      <c r="E30" s="82"/>
      <c r="F30" s="96"/>
      <c r="G30" s="96"/>
      <c r="H30" s="96"/>
      <c r="I30" s="96"/>
      <c r="J30" s="96"/>
      <c r="K30" s="80"/>
      <c r="L30" s="80"/>
      <c r="M30" s="80"/>
      <c r="N30" s="80"/>
      <c r="O30" s="80"/>
      <c r="P30" s="80"/>
      <c r="Q30" s="97"/>
      <c r="R30" s="80"/>
      <c r="S30" s="98"/>
      <c r="T30" s="80"/>
      <c r="U30" s="80"/>
      <c r="V30" s="80"/>
      <c r="W30" s="189"/>
      <c r="X30" s="190"/>
      <c r="Y30" s="89"/>
      <c r="Z30" s="90"/>
      <c r="AA30" s="91"/>
      <c r="AB30" s="92"/>
    </row>
    <row r="31" spans="2:28" ht="15.75" x14ac:dyDescent="0.25">
      <c r="B31" s="99">
        <v>4</v>
      </c>
      <c r="C31" s="100" t="s">
        <v>114</v>
      </c>
      <c r="D31" s="100"/>
      <c r="E31" s="101">
        <f>SUM(E32:E36)</f>
        <v>1</v>
      </c>
      <c r="F31" s="102">
        <f>SUM(F32:F36)</f>
        <v>780487615463</v>
      </c>
      <c r="G31" s="104">
        <f t="shared" ref="G31" si="20">SUM(G32:G36)</f>
        <v>2063696338088</v>
      </c>
      <c r="H31" s="102">
        <f t="shared" ref="H31:I31" si="21">SUM(H32:H36)</f>
        <v>288191729033</v>
      </c>
      <c r="I31" s="102">
        <f t="shared" si="21"/>
        <v>702762316891</v>
      </c>
      <c r="J31" s="102">
        <f>G31-I31</f>
        <v>1360934021197</v>
      </c>
      <c r="K31" s="103">
        <v>1</v>
      </c>
      <c r="L31" s="103">
        <v>24</v>
      </c>
      <c r="M31" s="104">
        <v>99315662209</v>
      </c>
      <c r="N31" s="105">
        <f>M31*$P$10</f>
        <v>39726264883.599998</v>
      </c>
      <c r="O31" s="106">
        <f>SUM(O32:O34)</f>
        <v>492295886430</v>
      </c>
      <c r="P31" s="107" t="str">
        <f>+IF(M31="","",IF(O31&gt;=N31,"ADMISIBLE","NO ADMISIBLE"))</f>
        <v>ADMISIBLE</v>
      </c>
      <c r="Q31" s="108">
        <f>F31/H31</f>
        <v>2.708223508293774</v>
      </c>
      <c r="R31" s="107" t="str">
        <f>IF(M31="","",IF(Q31&gt;=$R$10,"ADMISIBLE","NO ADMISIBLE"))</f>
        <v>ADMISIBLE</v>
      </c>
      <c r="S31" s="109">
        <f>SUM(I31/G31)</f>
        <v>0.34053571929196924</v>
      </c>
      <c r="T31" s="110" t="str">
        <f>IF(M31="","",IF(S31&lt;$T$10,"ADMISIBLE","NO ADMISIBLE"))</f>
        <v>ADMISIBLE</v>
      </c>
      <c r="U31" s="111">
        <f>SUM(U32:U34)</f>
        <v>1360934021197</v>
      </c>
      <c r="V31" s="107" t="str">
        <f>IF(U31="","",IF(J31&gt;=U31,"ADMISIBLE","NO ADMISIBLE"))</f>
        <v>ADMISIBLE</v>
      </c>
      <c r="W31" s="185" t="str">
        <f>IF(M31="","",IF(P31="NO ADMISIBLE","NO ADMISIBLE",IF(R31="NO ADMISIBLE","NO ADMISIBLE",IF(T31="NO ADMISIBLE","NO ADMISIBLE",IF(V31="NO ADMISIBLE","NO ADMISIBLE","ADMISIBLE")))))</f>
        <v>ADMISIBLE</v>
      </c>
      <c r="X31" s="186"/>
      <c r="Y31" s="112">
        <f>SUM(Y32:Y37)</f>
        <v>1672</v>
      </c>
      <c r="Z31" s="113"/>
      <c r="AA31" s="114">
        <f>SUM(AA32:AA36)</f>
        <v>1135964.0899999999</v>
      </c>
      <c r="AB31" s="115"/>
    </row>
    <row r="32" spans="2:28" x14ac:dyDescent="0.3">
      <c r="B32" s="79" t="s">
        <v>37</v>
      </c>
      <c r="C32" s="80" t="s">
        <v>103</v>
      </c>
      <c r="D32" s="81">
        <v>41274</v>
      </c>
      <c r="E32" s="82">
        <v>0.4</v>
      </c>
      <c r="F32" s="116">
        <v>233251648000</v>
      </c>
      <c r="G32" s="116">
        <v>1093975514000</v>
      </c>
      <c r="H32" s="116">
        <v>102538448000</v>
      </c>
      <c r="I32" s="116">
        <v>431321638000</v>
      </c>
      <c r="J32" s="116">
        <f>G32-I32</f>
        <v>662653876000</v>
      </c>
      <c r="K32" s="80"/>
      <c r="L32" s="80"/>
      <c r="M32" s="80"/>
      <c r="N32" s="80"/>
      <c r="O32" s="118">
        <f>F32-H32</f>
        <v>130713200000</v>
      </c>
      <c r="P32" s="80"/>
      <c r="Q32" s="97">
        <f>F32/H32</f>
        <v>2.2747725614103307</v>
      </c>
      <c r="R32" s="80"/>
      <c r="S32" s="98">
        <f>I32/G32</f>
        <v>0.39426991964648306</v>
      </c>
      <c r="T32" s="80"/>
      <c r="U32" s="95">
        <f>G32-I32</f>
        <v>662653876000</v>
      </c>
      <c r="V32" s="80"/>
      <c r="W32" s="189"/>
      <c r="X32" s="190"/>
      <c r="Y32" s="89">
        <v>64</v>
      </c>
      <c r="Z32" s="90"/>
      <c r="AA32" s="91">
        <v>514863.26</v>
      </c>
      <c r="AB32" s="92"/>
    </row>
    <row r="33" spans="2:28" x14ac:dyDescent="0.3">
      <c r="B33" s="79" t="s">
        <v>38</v>
      </c>
      <c r="C33" s="80" t="s">
        <v>104</v>
      </c>
      <c r="D33" s="81">
        <v>41274</v>
      </c>
      <c r="E33" s="82">
        <v>0.3</v>
      </c>
      <c r="F33" s="116">
        <v>462892218000</v>
      </c>
      <c r="G33" s="116">
        <v>809041674000</v>
      </c>
      <c r="H33" s="116">
        <v>132565398000</v>
      </c>
      <c r="I33" s="116">
        <v>188266252000</v>
      </c>
      <c r="J33" s="116">
        <f>G33-I33</f>
        <v>620775422000</v>
      </c>
      <c r="K33" s="80"/>
      <c r="L33" s="80"/>
      <c r="M33" s="80"/>
      <c r="N33" s="80"/>
      <c r="O33" s="118">
        <f>F33-H33</f>
        <v>330326820000</v>
      </c>
      <c r="P33" s="80"/>
      <c r="Q33" s="97">
        <f t="shared" ref="Q33:Q34" si="22">F33/H33</f>
        <v>3.4918027251726729</v>
      </c>
      <c r="R33" s="80"/>
      <c r="S33" s="98">
        <f t="shared" ref="S33:S34" si="23">I33/G33</f>
        <v>0.23270278658105317</v>
      </c>
      <c r="T33" s="80"/>
      <c r="U33" s="95">
        <f t="shared" ref="U33:U34" si="24">G33-I33</f>
        <v>620775422000</v>
      </c>
      <c r="V33" s="80"/>
      <c r="W33" s="189"/>
      <c r="X33" s="190"/>
      <c r="Y33" s="89">
        <v>1346</v>
      </c>
      <c r="Z33" s="90"/>
      <c r="AA33" s="91">
        <v>457679.21</v>
      </c>
      <c r="AB33" s="92"/>
    </row>
    <row r="34" spans="2:28" x14ac:dyDescent="0.3">
      <c r="B34" s="79" t="s">
        <v>39</v>
      </c>
      <c r="C34" s="80" t="s">
        <v>105</v>
      </c>
      <c r="D34" s="81">
        <v>41274</v>
      </c>
      <c r="E34" s="82">
        <v>0.3</v>
      </c>
      <c r="F34" s="116">
        <v>84343749463</v>
      </c>
      <c r="G34" s="116">
        <v>160679150088</v>
      </c>
      <c r="H34" s="116">
        <v>53087883033</v>
      </c>
      <c r="I34" s="116">
        <v>83174426891</v>
      </c>
      <c r="J34" s="116">
        <f>G34-I34</f>
        <v>77504723197</v>
      </c>
      <c r="K34" s="80"/>
      <c r="L34" s="80"/>
      <c r="M34" s="80"/>
      <c r="N34" s="80"/>
      <c r="O34" s="118">
        <f>F34-H34</f>
        <v>31255866430</v>
      </c>
      <c r="P34" s="80"/>
      <c r="Q34" s="97">
        <f t="shared" si="22"/>
        <v>1.5887570693028203</v>
      </c>
      <c r="R34" s="80"/>
      <c r="S34" s="98">
        <f t="shared" si="23"/>
        <v>0.51764293528716965</v>
      </c>
      <c r="T34" s="80"/>
      <c r="U34" s="95">
        <f t="shared" si="24"/>
        <v>77504723197</v>
      </c>
      <c r="V34" s="80"/>
      <c r="W34" s="189"/>
      <c r="X34" s="190"/>
      <c r="Y34" s="89">
        <v>262</v>
      </c>
      <c r="Z34" s="90"/>
      <c r="AA34" s="91">
        <v>163421.62</v>
      </c>
      <c r="AB34" s="92"/>
    </row>
    <row r="35" spans="2:28" x14ac:dyDescent="0.3">
      <c r="B35" s="79" t="s">
        <v>40</v>
      </c>
      <c r="C35" s="80"/>
      <c r="D35" s="80"/>
      <c r="E35" s="82"/>
      <c r="F35" s="96"/>
      <c r="G35" s="96"/>
      <c r="H35" s="96"/>
      <c r="I35" s="96"/>
      <c r="J35" s="96"/>
      <c r="K35" s="80"/>
      <c r="L35" s="80"/>
      <c r="M35" s="80"/>
      <c r="N35" s="80"/>
      <c r="O35" s="80"/>
      <c r="P35" s="80"/>
      <c r="Q35" s="80"/>
      <c r="R35" s="80"/>
      <c r="S35" s="98"/>
      <c r="T35" s="80"/>
      <c r="U35" s="80"/>
      <c r="V35" s="80"/>
      <c r="W35" s="189"/>
      <c r="X35" s="190"/>
      <c r="Y35" s="89"/>
      <c r="Z35" s="90"/>
      <c r="AA35" s="91"/>
      <c r="AB35" s="92"/>
    </row>
    <row r="36" spans="2:28" ht="16.2" thickBot="1" x14ac:dyDescent="0.35">
      <c r="B36" s="126" t="s">
        <v>41</v>
      </c>
      <c r="C36" s="127"/>
      <c r="D36" s="127"/>
      <c r="E36" s="128"/>
      <c r="F36" s="129"/>
      <c r="G36" s="129"/>
      <c r="H36" s="129"/>
      <c r="I36" s="129"/>
      <c r="J36" s="129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91"/>
      <c r="X36" s="192"/>
      <c r="Y36" s="130"/>
      <c r="Z36" s="131"/>
      <c r="AA36" s="130"/>
      <c r="AB36" s="131"/>
    </row>
    <row r="37" spans="2:28" ht="15.75" hidden="1" x14ac:dyDescent="0.25">
      <c r="B37" s="132">
        <v>5</v>
      </c>
      <c r="C37" s="133"/>
      <c r="D37" s="133"/>
      <c r="E37" s="134">
        <f>SUM(E38:E42)</f>
        <v>0</v>
      </c>
      <c r="F37" s="135">
        <f>SUM(F38:F42)</f>
        <v>0</v>
      </c>
      <c r="G37" s="135">
        <f t="shared" ref="G37" si="25">SUM(G38:G42)</f>
        <v>0</v>
      </c>
      <c r="H37" s="135">
        <f t="shared" ref="H37:I37" si="26">SUM(H38:H42)</f>
        <v>0</v>
      </c>
      <c r="I37" s="135">
        <f t="shared" si="26"/>
        <v>0</v>
      </c>
      <c r="J37" s="135">
        <f>G37-I37</f>
        <v>0</v>
      </c>
      <c r="K37" s="136">
        <v>1</v>
      </c>
      <c r="L37" s="136">
        <v>24</v>
      </c>
      <c r="M37" s="137">
        <v>99315662209</v>
      </c>
      <c r="N37" s="138">
        <f>M37*$P$10</f>
        <v>39726264883.599998</v>
      </c>
      <c r="O37" s="139">
        <f>SUM(F37-H37)</f>
        <v>0</v>
      </c>
      <c r="P37" s="140" t="str">
        <f>+IF(M37="","",IF(O37&gt;=N37,"ADMISIBLE","NO ADMISIBLE"))</f>
        <v>NO ADMISIBLE</v>
      </c>
      <c r="Q37" s="141" t="e">
        <f>SUM(F37/H37)</f>
        <v>#DIV/0!</v>
      </c>
      <c r="R37" s="140" t="e">
        <f>IF(M37="","",IF(Q37&gt;=$R$10,"ADMISIBLE","NO ADMISIBLE"))</f>
        <v>#DIV/0!</v>
      </c>
      <c r="S37" s="135" t="e">
        <f>SUM(I37/G37)</f>
        <v>#DIV/0!</v>
      </c>
      <c r="T37" s="142" t="e">
        <f>IF(M37="","",IF(S37&lt;$T$10,"ADMISIBLE","NO ADMISIBLE"))</f>
        <v>#DIV/0!</v>
      </c>
      <c r="U37" s="143">
        <f>M37*$V$10</f>
        <v>54623614214.950005</v>
      </c>
      <c r="V37" s="140" t="str">
        <f>IF(U37="","",IF(J37&gt;=U37,"ADMISIBLE","NO ADMISIBLE"))</f>
        <v>NO ADMISIBLE</v>
      </c>
      <c r="W37" s="187" t="str">
        <f>IF(M37="","",IF(P37="NO ADMISIBLE","NO ADMISIBLE",IF(R37="NO ADMISIBLE","NO ADMISIBLE",IF(T37="NO ADMISIBLE","NO ADMISIBLE",IF(V37="NO ADMISIBLE","NO ADMISIBLE","ADMISIBLE")))))</f>
        <v>NO ADMISIBLE</v>
      </c>
      <c r="X37" s="188"/>
      <c r="Y37" s="187"/>
      <c r="Z37" s="188"/>
    </row>
    <row r="38" spans="2:28" ht="15.75" hidden="1" x14ac:dyDescent="0.25">
      <c r="B38" s="79" t="s">
        <v>42</v>
      </c>
      <c r="C38" s="80"/>
      <c r="D38" s="80"/>
      <c r="E38" s="144"/>
      <c r="F38" s="145"/>
      <c r="G38" s="145"/>
      <c r="H38" s="145"/>
      <c r="I38" s="145"/>
      <c r="J38" s="145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146"/>
      <c r="Y38" s="147"/>
      <c r="Z38" s="92"/>
    </row>
    <row r="39" spans="2:28" ht="15.75" hidden="1" x14ac:dyDescent="0.25">
      <c r="B39" s="79" t="s">
        <v>43</v>
      </c>
      <c r="C39" s="80"/>
      <c r="D39" s="80"/>
      <c r="E39" s="144"/>
      <c r="F39" s="145"/>
      <c r="G39" s="145"/>
      <c r="H39" s="145"/>
      <c r="I39" s="145"/>
      <c r="J39" s="145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146"/>
      <c r="Y39" s="147"/>
      <c r="Z39" s="92"/>
    </row>
    <row r="40" spans="2:28" ht="15.75" hidden="1" x14ac:dyDescent="0.25">
      <c r="B40" s="79" t="s">
        <v>44</v>
      </c>
      <c r="C40" s="80"/>
      <c r="D40" s="80"/>
      <c r="E40" s="144"/>
      <c r="F40" s="145"/>
      <c r="G40" s="145"/>
      <c r="H40" s="145"/>
      <c r="I40" s="145"/>
      <c r="J40" s="145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146"/>
      <c r="Y40" s="147"/>
      <c r="Z40" s="92"/>
    </row>
    <row r="41" spans="2:28" ht="15.75" hidden="1" x14ac:dyDescent="0.25">
      <c r="B41" s="79" t="s">
        <v>45</v>
      </c>
      <c r="C41" s="80"/>
      <c r="D41" s="80"/>
      <c r="E41" s="144"/>
      <c r="F41" s="145"/>
      <c r="G41" s="145"/>
      <c r="H41" s="145"/>
      <c r="I41" s="145"/>
      <c r="J41" s="145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146"/>
      <c r="Y41" s="147"/>
      <c r="Z41" s="92"/>
    </row>
    <row r="42" spans="2:28" ht="15.75" hidden="1" x14ac:dyDescent="0.25">
      <c r="B42" s="79" t="s">
        <v>46</v>
      </c>
      <c r="C42" s="80"/>
      <c r="D42" s="80"/>
      <c r="E42" s="144"/>
      <c r="F42" s="145"/>
      <c r="G42" s="145"/>
      <c r="H42" s="145"/>
      <c r="I42" s="145"/>
      <c r="J42" s="145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146"/>
      <c r="Y42" s="147"/>
      <c r="Z42" s="92"/>
    </row>
    <row r="43" spans="2:28" ht="15.75" hidden="1" x14ac:dyDescent="0.25">
      <c r="B43" s="99">
        <v>6</v>
      </c>
      <c r="C43" s="100"/>
      <c r="D43" s="100"/>
      <c r="E43" s="101">
        <f>SUM(E44:E48)</f>
        <v>0</v>
      </c>
      <c r="F43" s="148">
        <f>SUM(F44:F48)</f>
        <v>0</v>
      </c>
      <c r="G43" s="148">
        <f t="shared" ref="G43" si="27">SUM(G44:G48)</f>
        <v>0</v>
      </c>
      <c r="H43" s="148">
        <f t="shared" ref="H43:I43" si="28">SUM(H44:H48)</f>
        <v>0</v>
      </c>
      <c r="I43" s="148">
        <f t="shared" si="28"/>
        <v>0</v>
      </c>
      <c r="J43" s="148">
        <f>G43-I43</f>
        <v>0</v>
      </c>
      <c r="K43" s="103">
        <v>1</v>
      </c>
      <c r="L43" s="103">
        <v>24</v>
      </c>
      <c r="M43" s="104">
        <v>99315662209</v>
      </c>
      <c r="N43" s="105">
        <f>M43*$P$10</f>
        <v>39726264883.599998</v>
      </c>
      <c r="O43" s="106">
        <f>SUM(F43-H43)</f>
        <v>0</v>
      </c>
      <c r="P43" s="107" t="str">
        <f>+IF(M43="","",IF(O43&gt;=N43,"ADMISIBLE","NO ADMISIBLE"))</f>
        <v>NO ADMISIBLE</v>
      </c>
      <c r="Q43" s="149" t="e">
        <f>SUM(F43/H43)</f>
        <v>#DIV/0!</v>
      </c>
      <c r="R43" s="107" t="e">
        <f>IF(M43="","",IF(Q43&gt;=$R$10,"ADMISIBLE","NO ADMISIBLE"))</f>
        <v>#DIV/0!</v>
      </c>
      <c r="S43" s="148" t="e">
        <f>SUM(I43/G43)</f>
        <v>#DIV/0!</v>
      </c>
      <c r="T43" s="110" t="e">
        <f>IF(M43="","",IF(S43&lt;$T$10,"ADMISIBLE","NO ADMISIBLE"))</f>
        <v>#DIV/0!</v>
      </c>
      <c r="U43" s="111">
        <f>M43*$V$10</f>
        <v>54623614214.950005</v>
      </c>
      <c r="V43" s="107" t="str">
        <f>IF(U43="","",IF(J43&gt;=U43,"ADMISIBLE","NO ADMISIBLE"))</f>
        <v>NO ADMISIBLE</v>
      </c>
      <c r="W43" s="185" t="str">
        <f>IF(M43="","",IF(P43="NO ADMISIBLE","NO ADMISIBLE",IF(R43="NO ADMISIBLE","NO ADMISIBLE",IF(T43="NO ADMISIBLE","NO ADMISIBLE",IF(V43="NO ADMISIBLE","NO ADMISIBLE","ADMISIBLE")))))</f>
        <v>NO ADMISIBLE</v>
      </c>
      <c r="X43" s="186"/>
      <c r="Y43" s="185"/>
      <c r="Z43" s="186"/>
    </row>
    <row r="44" spans="2:28" ht="15.75" hidden="1" x14ac:dyDescent="0.25">
      <c r="B44" s="79" t="s">
        <v>47</v>
      </c>
      <c r="C44" s="80"/>
      <c r="D44" s="80"/>
      <c r="E44" s="144"/>
      <c r="F44" s="145"/>
      <c r="G44" s="145"/>
      <c r="H44" s="145"/>
      <c r="I44" s="145"/>
      <c r="J44" s="145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146"/>
      <c r="Y44" s="147"/>
      <c r="Z44" s="92"/>
    </row>
    <row r="45" spans="2:28" ht="15.75" hidden="1" x14ac:dyDescent="0.25">
      <c r="B45" s="79" t="s">
        <v>48</v>
      </c>
      <c r="C45" s="80"/>
      <c r="D45" s="80"/>
      <c r="E45" s="144"/>
      <c r="F45" s="145"/>
      <c r="G45" s="145"/>
      <c r="H45" s="145"/>
      <c r="I45" s="145"/>
      <c r="J45" s="145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146"/>
      <c r="Y45" s="147"/>
      <c r="Z45" s="92"/>
    </row>
    <row r="46" spans="2:28" ht="15.75" hidden="1" x14ac:dyDescent="0.25">
      <c r="B46" s="79" t="s">
        <v>49</v>
      </c>
      <c r="C46" s="80"/>
      <c r="D46" s="80"/>
      <c r="E46" s="144"/>
      <c r="F46" s="145"/>
      <c r="G46" s="145"/>
      <c r="H46" s="145"/>
      <c r="I46" s="145"/>
      <c r="J46" s="145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146"/>
      <c r="Y46" s="147"/>
      <c r="Z46" s="92"/>
    </row>
    <row r="47" spans="2:28" ht="15.75" hidden="1" x14ac:dyDescent="0.25">
      <c r="B47" s="79" t="s">
        <v>50</v>
      </c>
      <c r="C47" s="80"/>
      <c r="D47" s="80"/>
      <c r="E47" s="144"/>
      <c r="F47" s="145"/>
      <c r="G47" s="145"/>
      <c r="H47" s="145"/>
      <c r="I47" s="145"/>
      <c r="J47" s="145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146"/>
      <c r="Y47" s="147"/>
      <c r="Z47" s="92"/>
    </row>
    <row r="48" spans="2:28" ht="15.75" hidden="1" x14ac:dyDescent="0.25">
      <c r="B48" s="79" t="s">
        <v>51</v>
      </c>
      <c r="C48" s="80"/>
      <c r="D48" s="80"/>
      <c r="E48" s="144"/>
      <c r="F48" s="145"/>
      <c r="G48" s="145"/>
      <c r="H48" s="145"/>
      <c r="I48" s="145"/>
      <c r="J48" s="145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146"/>
      <c r="Y48" s="147"/>
      <c r="Z48" s="92"/>
    </row>
    <row r="49" spans="2:26" ht="15.75" hidden="1" x14ac:dyDescent="0.25">
      <c r="B49" s="99">
        <v>7</v>
      </c>
      <c r="C49" s="100"/>
      <c r="D49" s="100"/>
      <c r="E49" s="101">
        <f>SUM(E50:E54)</f>
        <v>0</v>
      </c>
      <c r="F49" s="148">
        <f>SUM(F50:F54)</f>
        <v>0</v>
      </c>
      <c r="G49" s="148">
        <f t="shared" ref="G49" si="29">SUM(G50:G54)</f>
        <v>0</v>
      </c>
      <c r="H49" s="148">
        <f t="shared" ref="H49:I49" si="30">SUM(H50:H54)</f>
        <v>0</v>
      </c>
      <c r="I49" s="148">
        <f t="shared" si="30"/>
        <v>0</v>
      </c>
      <c r="J49" s="148">
        <f>G49-I49</f>
        <v>0</v>
      </c>
      <c r="K49" s="103">
        <v>1</v>
      </c>
      <c r="L49" s="103">
        <v>24</v>
      </c>
      <c r="M49" s="104">
        <v>99315662209</v>
      </c>
      <c r="N49" s="105">
        <f>M49*$P$10</f>
        <v>39726264883.599998</v>
      </c>
      <c r="O49" s="106">
        <f>SUM(F49-H49)</f>
        <v>0</v>
      </c>
      <c r="P49" s="107" t="str">
        <f>+IF(M49="","",IF(O49&gt;=N49,"ADMISIBLE","NO ADMISIBLE"))</f>
        <v>NO ADMISIBLE</v>
      </c>
      <c r="Q49" s="149" t="e">
        <f>SUM(F49/H49)</f>
        <v>#DIV/0!</v>
      </c>
      <c r="R49" s="107" t="e">
        <f>IF(M49="","",IF(Q49&gt;=$R$10,"ADMISIBLE","NO ADMISIBLE"))</f>
        <v>#DIV/0!</v>
      </c>
      <c r="S49" s="148" t="e">
        <f>SUM(I49/G49)</f>
        <v>#DIV/0!</v>
      </c>
      <c r="T49" s="110" t="e">
        <f>IF(M49="","",IF(S49&lt;$T$10,"ADMISIBLE","NO ADMISIBLE"))</f>
        <v>#DIV/0!</v>
      </c>
      <c r="U49" s="111">
        <f>M49*$V$10</f>
        <v>54623614214.950005</v>
      </c>
      <c r="V49" s="107" t="str">
        <f>IF(U49="","",IF(J49&gt;=U49,"ADMISIBLE","NO ADMISIBLE"))</f>
        <v>NO ADMISIBLE</v>
      </c>
      <c r="W49" s="185" t="str">
        <f>IF(M49="","",IF(P49="NO ADMISIBLE","NO ADMISIBLE",IF(R49="NO ADMISIBLE","NO ADMISIBLE",IF(T49="NO ADMISIBLE","NO ADMISIBLE",IF(V49="NO ADMISIBLE","NO ADMISIBLE","ADMISIBLE")))))</f>
        <v>NO ADMISIBLE</v>
      </c>
      <c r="X49" s="186"/>
      <c r="Y49" s="185"/>
      <c r="Z49" s="186"/>
    </row>
    <row r="50" spans="2:26" ht="15.75" hidden="1" x14ac:dyDescent="0.25">
      <c r="B50" s="79" t="s">
        <v>52</v>
      </c>
      <c r="C50" s="80"/>
      <c r="D50" s="80"/>
      <c r="E50" s="144"/>
      <c r="F50" s="145"/>
      <c r="G50" s="145"/>
      <c r="H50" s="145"/>
      <c r="I50" s="145"/>
      <c r="J50" s="145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146"/>
      <c r="Y50" s="147"/>
      <c r="Z50" s="92"/>
    </row>
    <row r="51" spans="2:26" ht="15.75" hidden="1" x14ac:dyDescent="0.25">
      <c r="B51" s="79" t="s">
        <v>53</v>
      </c>
      <c r="C51" s="80"/>
      <c r="D51" s="80"/>
      <c r="E51" s="144"/>
      <c r="F51" s="145"/>
      <c r="G51" s="145"/>
      <c r="H51" s="145"/>
      <c r="I51" s="145"/>
      <c r="J51" s="145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146"/>
      <c r="Y51" s="147"/>
      <c r="Z51" s="92"/>
    </row>
    <row r="52" spans="2:26" ht="15.75" hidden="1" x14ac:dyDescent="0.25">
      <c r="B52" s="79" t="s">
        <v>54</v>
      </c>
      <c r="C52" s="80"/>
      <c r="D52" s="80"/>
      <c r="E52" s="144"/>
      <c r="F52" s="145"/>
      <c r="G52" s="145"/>
      <c r="H52" s="145"/>
      <c r="I52" s="145"/>
      <c r="J52" s="145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146"/>
      <c r="Y52" s="147"/>
      <c r="Z52" s="92"/>
    </row>
    <row r="53" spans="2:26" ht="15.75" hidden="1" x14ac:dyDescent="0.25">
      <c r="B53" s="79" t="s">
        <v>55</v>
      </c>
      <c r="C53" s="80"/>
      <c r="D53" s="80"/>
      <c r="E53" s="144"/>
      <c r="F53" s="145"/>
      <c r="G53" s="145"/>
      <c r="H53" s="145"/>
      <c r="I53" s="145"/>
      <c r="J53" s="145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146"/>
      <c r="Y53" s="147"/>
      <c r="Z53" s="92"/>
    </row>
    <row r="54" spans="2:26" ht="15.75" hidden="1" x14ac:dyDescent="0.25">
      <c r="B54" s="79" t="s">
        <v>56</v>
      </c>
      <c r="C54" s="80"/>
      <c r="D54" s="80"/>
      <c r="E54" s="144"/>
      <c r="F54" s="145"/>
      <c r="G54" s="145"/>
      <c r="H54" s="145"/>
      <c r="I54" s="145"/>
      <c r="J54" s="145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146"/>
      <c r="Y54" s="147"/>
      <c r="Z54" s="92"/>
    </row>
    <row r="55" spans="2:26" ht="15.75" hidden="1" x14ac:dyDescent="0.25">
      <c r="B55" s="99">
        <v>8</v>
      </c>
      <c r="C55" s="100"/>
      <c r="D55" s="100"/>
      <c r="E55" s="101">
        <f>SUM(E56:E60)</f>
        <v>0</v>
      </c>
      <c r="F55" s="148">
        <f>SUM(F56:F60)</f>
        <v>0</v>
      </c>
      <c r="G55" s="148">
        <f t="shared" ref="G55" si="31">SUM(G56:G60)</f>
        <v>0</v>
      </c>
      <c r="H55" s="148">
        <f t="shared" ref="H55:I55" si="32">SUM(H56:H60)</f>
        <v>0</v>
      </c>
      <c r="I55" s="148">
        <f t="shared" si="32"/>
        <v>0</v>
      </c>
      <c r="J55" s="148">
        <f>G55-I55</f>
        <v>0</v>
      </c>
      <c r="K55" s="103">
        <v>1</v>
      </c>
      <c r="L55" s="103">
        <v>24</v>
      </c>
      <c r="M55" s="104">
        <v>99315662209</v>
      </c>
      <c r="N55" s="105">
        <f>M55*$P$10</f>
        <v>39726264883.599998</v>
      </c>
      <c r="O55" s="106">
        <f>SUM(F55-H55)</f>
        <v>0</v>
      </c>
      <c r="P55" s="107" t="str">
        <f>+IF(M55="","",IF(O55&gt;=N55,"ADMISIBLE","NO ADMISIBLE"))</f>
        <v>NO ADMISIBLE</v>
      </c>
      <c r="Q55" s="149" t="e">
        <f>SUM(F55/H55)</f>
        <v>#DIV/0!</v>
      </c>
      <c r="R55" s="107" t="e">
        <f>IF(M55="","",IF(Q55&gt;=$R$10,"ADMISIBLE","NO ADMISIBLE"))</f>
        <v>#DIV/0!</v>
      </c>
      <c r="S55" s="148" t="e">
        <f>SUM(I55/G55)</f>
        <v>#DIV/0!</v>
      </c>
      <c r="T55" s="110" t="e">
        <f>IF(M55="","",IF(S55&lt;$T$10,"ADMISIBLE","NO ADMISIBLE"))</f>
        <v>#DIV/0!</v>
      </c>
      <c r="U55" s="111">
        <f>M55*$V$10</f>
        <v>54623614214.950005</v>
      </c>
      <c r="V55" s="107" t="str">
        <f>IF(U55="","",IF(J55&gt;=U55,"ADMISIBLE","NO ADMISIBLE"))</f>
        <v>NO ADMISIBLE</v>
      </c>
      <c r="W55" s="185" t="str">
        <f>IF(M55="","",IF(P55="NO ADMISIBLE","NO ADMISIBLE",IF(R55="NO ADMISIBLE","NO ADMISIBLE",IF(T55="NO ADMISIBLE","NO ADMISIBLE",IF(V55="NO ADMISIBLE","NO ADMISIBLE","ADMISIBLE")))))</f>
        <v>NO ADMISIBLE</v>
      </c>
      <c r="X55" s="186"/>
      <c r="Y55" s="185"/>
      <c r="Z55" s="186"/>
    </row>
    <row r="56" spans="2:26" ht="15.75" hidden="1" x14ac:dyDescent="0.25">
      <c r="B56" s="79" t="s">
        <v>57</v>
      </c>
      <c r="C56" s="80"/>
      <c r="D56" s="80"/>
      <c r="E56" s="144"/>
      <c r="F56" s="145"/>
      <c r="G56" s="145"/>
      <c r="H56" s="145"/>
      <c r="I56" s="145"/>
      <c r="J56" s="145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146"/>
      <c r="Y56" s="147"/>
      <c r="Z56" s="92"/>
    </row>
    <row r="57" spans="2:26" ht="15.75" hidden="1" x14ac:dyDescent="0.25">
      <c r="B57" s="79" t="s">
        <v>58</v>
      </c>
      <c r="C57" s="80"/>
      <c r="D57" s="80"/>
      <c r="E57" s="144"/>
      <c r="F57" s="145"/>
      <c r="G57" s="145"/>
      <c r="H57" s="145"/>
      <c r="I57" s="145"/>
      <c r="J57" s="145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146"/>
      <c r="Y57" s="147"/>
      <c r="Z57" s="92"/>
    </row>
    <row r="58" spans="2:26" ht="15.75" hidden="1" x14ac:dyDescent="0.25">
      <c r="B58" s="79" t="s">
        <v>59</v>
      </c>
      <c r="C58" s="80"/>
      <c r="D58" s="80"/>
      <c r="E58" s="144"/>
      <c r="F58" s="145"/>
      <c r="G58" s="145"/>
      <c r="H58" s="145"/>
      <c r="I58" s="145"/>
      <c r="J58" s="145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146"/>
      <c r="Y58" s="147"/>
      <c r="Z58" s="92"/>
    </row>
    <row r="59" spans="2:26" ht="15.75" hidden="1" x14ac:dyDescent="0.25">
      <c r="B59" s="79" t="s">
        <v>60</v>
      </c>
      <c r="C59" s="80"/>
      <c r="D59" s="80"/>
      <c r="E59" s="144"/>
      <c r="F59" s="145"/>
      <c r="G59" s="145"/>
      <c r="H59" s="145"/>
      <c r="I59" s="145"/>
      <c r="J59" s="145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146"/>
      <c r="Y59" s="147"/>
      <c r="Z59" s="92"/>
    </row>
    <row r="60" spans="2:26" ht="15.75" hidden="1" x14ac:dyDescent="0.25">
      <c r="B60" s="79" t="s">
        <v>61</v>
      </c>
      <c r="C60" s="80"/>
      <c r="D60" s="80"/>
      <c r="E60" s="144"/>
      <c r="F60" s="145"/>
      <c r="G60" s="145"/>
      <c r="H60" s="145"/>
      <c r="I60" s="145"/>
      <c r="J60" s="145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146"/>
      <c r="Y60" s="147"/>
      <c r="Z60" s="92"/>
    </row>
    <row r="61" spans="2:26" ht="15.75" hidden="1" x14ac:dyDescent="0.25">
      <c r="B61" s="99">
        <v>9</v>
      </c>
      <c r="C61" s="100"/>
      <c r="D61" s="100"/>
      <c r="E61" s="101">
        <f>SUM(E62:E66)</f>
        <v>0</v>
      </c>
      <c r="F61" s="148">
        <f>SUM(F62:F66)</f>
        <v>0</v>
      </c>
      <c r="G61" s="148">
        <f t="shared" ref="G61" si="33">SUM(G62:G66)</f>
        <v>0</v>
      </c>
      <c r="H61" s="148">
        <f t="shared" ref="H61:I61" si="34">SUM(H62:H66)</f>
        <v>0</v>
      </c>
      <c r="I61" s="148">
        <f t="shared" si="34"/>
        <v>0</v>
      </c>
      <c r="J61" s="148">
        <f>G61-I61</f>
        <v>0</v>
      </c>
      <c r="K61" s="103">
        <v>1</v>
      </c>
      <c r="L61" s="103">
        <v>24</v>
      </c>
      <c r="M61" s="104">
        <v>99315662209</v>
      </c>
      <c r="N61" s="105">
        <f>M61*$P$10</f>
        <v>39726264883.599998</v>
      </c>
      <c r="O61" s="106">
        <f>SUM(F61-H61)</f>
        <v>0</v>
      </c>
      <c r="P61" s="107" t="str">
        <f>+IF(M61="","",IF(O61&gt;=N61,"ADMISIBLE","NO ADMISIBLE"))</f>
        <v>NO ADMISIBLE</v>
      </c>
      <c r="Q61" s="149" t="e">
        <f>SUM(F61/H61)</f>
        <v>#DIV/0!</v>
      </c>
      <c r="R61" s="107" t="e">
        <f>IF(M61="","",IF(Q61&gt;=$R$10,"ADMISIBLE","NO ADMISIBLE"))</f>
        <v>#DIV/0!</v>
      </c>
      <c r="S61" s="148" t="e">
        <f>SUM(I61/G61)</f>
        <v>#DIV/0!</v>
      </c>
      <c r="T61" s="110" t="e">
        <f>IF(M61="","",IF(S61&lt;$T$10,"ADMISIBLE","NO ADMISIBLE"))</f>
        <v>#DIV/0!</v>
      </c>
      <c r="U61" s="111">
        <f>M61*$V$10</f>
        <v>54623614214.950005</v>
      </c>
      <c r="V61" s="107" t="str">
        <f>IF(U61="","",IF(J61&gt;=U61,"ADMISIBLE","NO ADMISIBLE"))</f>
        <v>NO ADMISIBLE</v>
      </c>
      <c r="W61" s="185" t="str">
        <f>IF(M61="","",IF(P61="NO ADMISIBLE","NO ADMISIBLE",IF(R61="NO ADMISIBLE","NO ADMISIBLE",IF(T61="NO ADMISIBLE","NO ADMISIBLE",IF(V61="NO ADMISIBLE","NO ADMISIBLE","ADMISIBLE")))))</f>
        <v>NO ADMISIBLE</v>
      </c>
      <c r="X61" s="186"/>
      <c r="Y61" s="185"/>
      <c r="Z61" s="186"/>
    </row>
    <row r="62" spans="2:26" ht="15.75" hidden="1" x14ac:dyDescent="0.25">
      <c r="B62" s="79" t="s">
        <v>62</v>
      </c>
      <c r="C62" s="80"/>
      <c r="D62" s="80"/>
      <c r="E62" s="144"/>
      <c r="F62" s="145"/>
      <c r="G62" s="145"/>
      <c r="H62" s="145"/>
      <c r="I62" s="145"/>
      <c r="J62" s="145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146"/>
      <c r="Y62" s="147"/>
      <c r="Z62" s="92"/>
    </row>
    <row r="63" spans="2:26" ht="15.75" hidden="1" x14ac:dyDescent="0.25">
      <c r="B63" s="79" t="s">
        <v>63</v>
      </c>
      <c r="C63" s="80"/>
      <c r="D63" s="80"/>
      <c r="E63" s="144"/>
      <c r="F63" s="145"/>
      <c r="G63" s="145"/>
      <c r="H63" s="145"/>
      <c r="I63" s="145"/>
      <c r="J63" s="145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146"/>
      <c r="Y63" s="147"/>
      <c r="Z63" s="92"/>
    </row>
    <row r="64" spans="2:26" ht="15.75" hidden="1" x14ac:dyDescent="0.25">
      <c r="B64" s="79" t="s">
        <v>64</v>
      </c>
      <c r="C64" s="80"/>
      <c r="D64" s="80"/>
      <c r="E64" s="144"/>
      <c r="F64" s="145"/>
      <c r="G64" s="145"/>
      <c r="H64" s="145"/>
      <c r="I64" s="145"/>
      <c r="J64" s="145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146"/>
      <c r="Y64" s="147"/>
      <c r="Z64" s="92"/>
    </row>
    <row r="65" spans="2:26" ht="15.75" hidden="1" x14ac:dyDescent="0.25">
      <c r="B65" s="79" t="s">
        <v>65</v>
      </c>
      <c r="C65" s="80"/>
      <c r="D65" s="80"/>
      <c r="E65" s="144"/>
      <c r="F65" s="145"/>
      <c r="G65" s="145"/>
      <c r="H65" s="145"/>
      <c r="I65" s="145"/>
      <c r="J65" s="145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146"/>
      <c r="Y65" s="147"/>
      <c r="Z65" s="92"/>
    </row>
    <row r="66" spans="2:26" ht="15.75" hidden="1" x14ac:dyDescent="0.25">
      <c r="B66" s="79" t="s">
        <v>66</v>
      </c>
      <c r="C66" s="80"/>
      <c r="D66" s="80"/>
      <c r="E66" s="144"/>
      <c r="F66" s="145"/>
      <c r="G66" s="145"/>
      <c r="H66" s="145"/>
      <c r="I66" s="145"/>
      <c r="J66" s="145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146"/>
      <c r="Y66" s="147"/>
      <c r="Z66" s="92"/>
    </row>
    <row r="67" spans="2:26" ht="15.75" hidden="1" x14ac:dyDescent="0.25">
      <c r="B67" s="99">
        <v>10</v>
      </c>
      <c r="C67" s="100"/>
      <c r="D67" s="100"/>
      <c r="E67" s="101">
        <f>SUM(E68:E72)</f>
        <v>0</v>
      </c>
      <c r="F67" s="148">
        <f>SUM(F68:F72)</f>
        <v>0</v>
      </c>
      <c r="G67" s="148">
        <f t="shared" ref="G67" si="35">SUM(G68:G72)</f>
        <v>0</v>
      </c>
      <c r="H67" s="148">
        <f t="shared" ref="H67:I67" si="36">SUM(H68:H72)</f>
        <v>0</v>
      </c>
      <c r="I67" s="148">
        <f t="shared" si="36"/>
        <v>0</v>
      </c>
      <c r="J67" s="148">
        <f>G67-I67</f>
        <v>0</v>
      </c>
      <c r="K67" s="103">
        <v>1</v>
      </c>
      <c r="L67" s="103">
        <v>24</v>
      </c>
      <c r="M67" s="104">
        <v>99315662209</v>
      </c>
      <c r="N67" s="105">
        <f>M67*$P$10</f>
        <v>39726264883.599998</v>
      </c>
      <c r="O67" s="106">
        <f>SUM(F67-H67)</f>
        <v>0</v>
      </c>
      <c r="P67" s="107" t="str">
        <f>+IF(M67="","",IF(O67&gt;=N67,"ADMISIBLE","NO ADMISIBLE"))</f>
        <v>NO ADMISIBLE</v>
      </c>
      <c r="Q67" s="149" t="e">
        <f>SUM(F67/H67)</f>
        <v>#DIV/0!</v>
      </c>
      <c r="R67" s="107" t="e">
        <f>IF(M67="","",IF(Q67&gt;=$R$10,"ADMISIBLE","NO ADMISIBLE"))</f>
        <v>#DIV/0!</v>
      </c>
      <c r="S67" s="148" t="e">
        <f>SUM(I67/G67)</f>
        <v>#DIV/0!</v>
      </c>
      <c r="T67" s="110" t="e">
        <f>IF(M67="","",IF(S67&lt;$T$10,"ADMISIBLE","NO ADMISIBLE"))</f>
        <v>#DIV/0!</v>
      </c>
      <c r="U67" s="111">
        <f>M67*$V$10</f>
        <v>54623614214.950005</v>
      </c>
      <c r="V67" s="107" t="str">
        <f>IF(U67="","",IF(J67&gt;=U67,"ADMISIBLE","NO ADMISIBLE"))</f>
        <v>NO ADMISIBLE</v>
      </c>
      <c r="W67" s="185" t="str">
        <f>IF(M67="","",IF(P67="NO ADMISIBLE","NO ADMISIBLE",IF(R67="NO ADMISIBLE","NO ADMISIBLE",IF(T67="NO ADMISIBLE","NO ADMISIBLE",IF(V67="NO ADMISIBLE","NO ADMISIBLE","ADMISIBLE")))))</f>
        <v>NO ADMISIBLE</v>
      </c>
      <c r="X67" s="186"/>
      <c r="Y67" s="147"/>
      <c r="Z67" s="92"/>
    </row>
    <row r="68" spans="2:26" ht="15.75" hidden="1" x14ac:dyDescent="0.25">
      <c r="B68" s="79" t="s">
        <v>67</v>
      </c>
      <c r="C68" s="80"/>
      <c r="D68" s="80"/>
      <c r="E68" s="144"/>
      <c r="F68" s="145"/>
      <c r="G68" s="145"/>
      <c r="H68" s="145"/>
      <c r="I68" s="145"/>
      <c r="J68" s="145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146"/>
      <c r="Y68" s="147"/>
      <c r="Z68" s="92"/>
    </row>
    <row r="69" spans="2:26" ht="15.75" hidden="1" x14ac:dyDescent="0.25">
      <c r="B69" s="79" t="s">
        <v>68</v>
      </c>
      <c r="C69" s="80"/>
      <c r="D69" s="80"/>
      <c r="E69" s="144"/>
      <c r="F69" s="145"/>
      <c r="G69" s="145"/>
      <c r="H69" s="145"/>
      <c r="I69" s="145"/>
      <c r="J69" s="145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146"/>
      <c r="Y69" s="147"/>
      <c r="Z69" s="92"/>
    </row>
    <row r="70" spans="2:26" ht="15.75" hidden="1" x14ac:dyDescent="0.25">
      <c r="B70" s="79" t="s">
        <v>69</v>
      </c>
      <c r="C70" s="80"/>
      <c r="D70" s="80"/>
      <c r="E70" s="144"/>
      <c r="F70" s="145"/>
      <c r="G70" s="145"/>
      <c r="H70" s="145"/>
      <c r="I70" s="145"/>
      <c r="J70" s="145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146"/>
      <c r="Y70" s="147"/>
      <c r="Z70" s="92"/>
    </row>
    <row r="71" spans="2:26" ht="15.75" hidden="1" x14ac:dyDescent="0.25">
      <c r="B71" s="79" t="s">
        <v>70</v>
      </c>
      <c r="C71" s="80"/>
      <c r="D71" s="80"/>
      <c r="E71" s="144"/>
      <c r="F71" s="145"/>
      <c r="G71" s="145"/>
      <c r="H71" s="145"/>
      <c r="I71" s="145"/>
      <c r="J71" s="145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146"/>
      <c r="Y71" s="147"/>
      <c r="Z71" s="92"/>
    </row>
    <row r="72" spans="2:26" ht="16.5" hidden="1" thickBot="1" x14ac:dyDescent="0.3">
      <c r="B72" s="126" t="s">
        <v>71</v>
      </c>
      <c r="C72" s="127"/>
      <c r="D72" s="127"/>
      <c r="E72" s="150"/>
      <c r="F72" s="151"/>
      <c r="G72" s="151"/>
      <c r="H72" s="151"/>
      <c r="I72" s="151"/>
      <c r="J72" s="151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52"/>
      <c r="Y72" s="130"/>
      <c r="Z72" s="131"/>
    </row>
    <row r="81" spans="3:22" s="153" customFormat="1" x14ac:dyDescent="0.3">
      <c r="C81" s="153" t="s">
        <v>120</v>
      </c>
      <c r="H81" s="153" t="s">
        <v>121</v>
      </c>
      <c r="O81" s="153" t="s">
        <v>121</v>
      </c>
      <c r="V81" s="153" t="s">
        <v>121</v>
      </c>
    </row>
    <row r="82" spans="3:22" s="153" customFormat="1" x14ac:dyDescent="0.3">
      <c r="C82" s="153" t="s">
        <v>122</v>
      </c>
      <c r="H82" s="153" t="s">
        <v>122</v>
      </c>
      <c r="O82" s="153" t="s">
        <v>122</v>
      </c>
      <c r="V82" s="153" t="s">
        <v>122</v>
      </c>
    </row>
  </sheetData>
  <mergeCells count="70">
    <mergeCell ref="Y49:Z49"/>
    <mergeCell ref="AA8:AB8"/>
    <mergeCell ref="AA9:AB11"/>
    <mergeCell ref="Y8:Z8"/>
    <mergeCell ref="Y9:Y11"/>
    <mergeCell ref="W12:X12"/>
    <mergeCell ref="W17:X17"/>
    <mergeCell ref="Z9:Z11"/>
    <mergeCell ref="Y37:Z37"/>
    <mergeCell ref="Y43:Z43"/>
    <mergeCell ref="W13:X13"/>
    <mergeCell ref="W14:X14"/>
    <mergeCell ref="W15:X15"/>
    <mergeCell ref="W16:X16"/>
    <mergeCell ref="W49:X49"/>
    <mergeCell ref="W29:X29"/>
    <mergeCell ref="W30:X30"/>
    <mergeCell ref="W61:X61"/>
    <mergeCell ref="W67:X67"/>
    <mergeCell ref="W32:X32"/>
    <mergeCell ref="W33:X33"/>
    <mergeCell ref="W34:X34"/>
    <mergeCell ref="W35:X35"/>
    <mergeCell ref="W36:X36"/>
    <mergeCell ref="W55:X55"/>
    <mergeCell ref="Y61:Z61"/>
    <mergeCell ref="Y55:Z55"/>
    <mergeCell ref="W18:X18"/>
    <mergeCell ref="W25:X25"/>
    <mergeCell ref="W31:X31"/>
    <mergeCell ref="W37:X37"/>
    <mergeCell ref="W43:X43"/>
    <mergeCell ref="W19:X19"/>
    <mergeCell ref="W20:X20"/>
    <mergeCell ref="W21:X21"/>
    <mergeCell ref="W22:X22"/>
    <mergeCell ref="W23:X23"/>
    <mergeCell ref="W24:X24"/>
    <mergeCell ref="W26:X26"/>
    <mergeCell ref="W27:X27"/>
    <mergeCell ref="W28:X28"/>
    <mergeCell ref="U9:V9"/>
    <mergeCell ref="U8:V8"/>
    <mergeCell ref="S8:T8"/>
    <mergeCell ref="S9:T9"/>
    <mergeCell ref="W9:X11"/>
    <mergeCell ref="W8:X8"/>
    <mergeCell ref="G9:G11"/>
    <mergeCell ref="H9:H11"/>
    <mergeCell ref="I9:I11"/>
    <mergeCell ref="J9:J11"/>
    <mergeCell ref="Q8:R8"/>
    <mergeCell ref="O8:P8"/>
    <mergeCell ref="O9:P9"/>
    <mergeCell ref="F8:N8"/>
    <mergeCell ref="K9:K11"/>
    <mergeCell ref="L9:L11"/>
    <mergeCell ref="M9:M11"/>
    <mergeCell ref="N9:N11"/>
    <mergeCell ref="Q9:R9"/>
    <mergeCell ref="B9:B11"/>
    <mergeCell ref="C9:C11"/>
    <mergeCell ref="E9:E11"/>
    <mergeCell ref="D9:D11"/>
    <mergeCell ref="F9:F11"/>
    <mergeCell ref="B2:X2"/>
    <mergeCell ref="B3:X3"/>
    <mergeCell ref="B4:X4"/>
    <mergeCell ref="B7:X7"/>
    <mergeCell ref="B8:E8"/>
  </mergeCells>
  <pageMargins left="1.1417322834645669" right="1.3779527559055118" top="0.74803149606299213" bottom="0.74803149606299213" header="0.31496062992125984" footer="0.31496062992125984"/>
  <pageSetup scale="40" fitToWidth="2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80"/>
  <sheetViews>
    <sheetView topLeftCell="A7" zoomScale="55" zoomScaleNormal="55" workbookViewId="0">
      <selection activeCell="C10" sqref="C10"/>
    </sheetView>
  </sheetViews>
  <sheetFormatPr baseColWidth="10" defaultColWidth="11.44140625" defaultRowHeight="13.8" x14ac:dyDescent="0.25"/>
  <cols>
    <col min="1" max="1" width="3.44140625" style="1" customWidth="1"/>
    <col min="2" max="2" width="12.109375" style="1" customWidth="1"/>
    <col min="3" max="3" width="48.6640625" style="1" customWidth="1"/>
    <col min="4" max="4" width="17.33203125" style="1" customWidth="1"/>
    <col min="5" max="5" width="27.5546875" style="1" customWidth="1"/>
    <col min="6" max="6" width="23.5546875" style="1" bestFit="1" customWidth="1"/>
    <col min="7" max="7" width="25.88671875" style="1" customWidth="1"/>
    <col min="8" max="8" width="26.109375" style="1" customWidth="1"/>
    <col min="9" max="9" width="0.109375" style="1" customWidth="1"/>
    <col min="10" max="10" width="26.88671875" style="1" hidden="1" customWidth="1"/>
    <col min="11" max="11" width="14.6640625" style="1" hidden="1" customWidth="1"/>
    <col min="12" max="12" width="29.33203125" style="1" customWidth="1"/>
    <col min="13" max="13" width="19.5546875" style="1" customWidth="1"/>
    <col min="14" max="16384" width="11.44140625" style="1"/>
  </cols>
  <sheetData>
    <row r="2" spans="2:24" ht="16.5" x14ac:dyDescent="0.3">
      <c r="B2" s="201" t="s">
        <v>75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</row>
    <row r="3" spans="2:24" x14ac:dyDescent="0.25">
      <c r="B3" s="201" t="s">
        <v>76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</row>
    <row r="4" spans="2:24" x14ac:dyDescent="0.25">
      <c r="B4" s="201" t="s">
        <v>118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</row>
    <row r="5" spans="2:24" ht="16.5" x14ac:dyDescent="0.3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2:24" ht="17.25" thickBot="1" x14ac:dyDescent="0.35"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</row>
    <row r="7" spans="2:24" ht="39.75" customHeight="1" x14ac:dyDescent="0.25">
      <c r="B7" s="199" t="s">
        <v>77</v>
      </c>
      <c r="C7" s="204" t="s">
        <v>1</v>
      </c>
      <c r="D7" s="199" t="s">
        <v>78</v>
      </c>
      <c r="E7" s="199" t="s">
        <v>82</v>
      </c>
      <c r="F7" s="199" t="s">
        <v>81</v>
      </c>
      <c r="G7" s="199" t="s">
        <v>125</v>
      </c>
      <c r="H7" s="199" t="s">
        <v>124</v>
      </c>
      <c r="I7" s="199" t="s">
        <v>80</v>
      </c>
      <c r="J7" s="199" t="s">
        <v>83</v>
      </c>
      <c r="K7" s="199" t="s">
        <v>7</v>
      </c>
      <c r="L7" s="199" t="s">
        <v>84</v>
      </c>
      <c r="M7" s="206" t="s">
        <v>85</v>
      </c>
    </row>
    <row r="8" spans="2:24" ht="26.25" customHeight="1" thickBot="1" x14ac:dyDescent="0.3">
      <c r="B8" s="203"/>
      <c r="C8" s="205"/>
      <c r="D8" s="203"/>
      <c r="E8" s="200"/>
      <c r="F8" s="203"/>
      <c r="G8" s="200"/>
      <c r="H8" s="200"/>
      <c r="I8" s="203"/>
      <c r="J8" s="203"/>
      <c r="K8" s="203"/>
      <c r="L8" s="203"/>
      <c r="M8" s="207"/>
    </row>
    <row r="9" spans="2:24" ht="36.75" customHeight="1" thickBot="1" x14ac:dyDescent="0.3">
      <c r="B9" s="203"/>
      <c r="C9" s="205"/>
      <c r="D9" s="203"/>
      <c r="E9" s="39" t="s">
        <v>79</v>
      </c>
      <c r="F9" s="203"/>
      <c r="G9" s="39" t="s">
        <v>79</v>
      </c>
      <c r="H9" s="40" t="s">
        <v>79</v>
      </c>
      <c r="I9" s="203"/>
      <c r="J9" s="203"/>
      <c r="K9" s="203"/>
      <c r="L9" s="203"/>
      <c r="M9" s="207"/>
    </row>
    <row r="10" spans="2:24" x14ac:dyDescent="0.25">
      <c r="B10" s="2">
        <v>1</v>
      </c>
      <c r="C10" s="3" t="s">
        <v>126</v>
      </c>
      <c r="D10" s="43">
        <f>'CAPACIDAD FINANCIERA'!E12</f>
        <v>1</v>
      </c>
      <c r="E10" s="5">
        <f>SUM(E11:E15)</f>
        <v>1112421801409</v>
      </c>
      <c r="F10" s="5">
        <f>SUM(F11:F15)</f>
        <v>250999946051.13</v>
      </c>
      <c r="G10" s="5">
        <f>SUM(G11:G15)</f>
        <v>861421855357.87012</v>
      </c>
      <c r="H10" s="5">
        <f>SUM(H11:H15)</f>
        <v>283829697618.73303</v>
      </c>
      <c r="I10" s="4">
        <f>'CAPACIDAD FINANCIERA'!K12</f>
        <v>1</v>
      </c>
      <c r="J10" s="28">
        <f>'CAPACIDAD FINANCIERA'!M12</f>
        <v>99315662209</v>
      </c>
      <c r="K10" s="4">
        <f>'CAPACIDAD FINANCIERA'!L12</f>
        <v>24</v>
      </c>
      <c r="L10" s="32">
        <f>IF(ISERROR(+J10/K10),"",(J10/K10))</f>
        <v>4138152592.0416665</v>
      </c>
      <c r="M10" s="24" t="str">
        <f>+IF(I10=0,"",IF(H10&gt;=L10,"ADMISIBLE","NO ADMISIBLE"))</f>
        <v>ADMISIBLE</v>
      </c>
    </row>
    <row r="11" spans="2:24" ht="16.5" x14ac:dyDescent="0.3">
      <c r="B11" s="6" t="s">
        <v>18</v>
      </c>
      <c r="C11" s="7" t="s">
        <v>94</v>
      </c>
      <c r="D11" s="44">
        <f>'CAPACIDAD FINANCIERA'!E13</f>
        <v>0.35</v>
      </c>
      <c r="E11" s="31">
        <v>745435521000</v>
      </c>
      <c r="F11" s="30">
        <v>191733468189.82999</v>
      </c>
      <c r="G11" s="31">
        <f>+E11-F11</f>
        <v>553702052810.17004</v>
      </c>
      <c r="H11" s="31">
        <f>IF(ISERROR((E11-F11)*D11),"",(E11-F11)*D11)</f>
        <v>193795718483.55951</v>
      </c>
      <c r="I11" s="7"/>
      <c r="J11" s="7"/>
      <c r="K11" s="7"/>
      <c r="L11" s="7"/>
      <c r="M11" s="10"/>
    </row>
    <row r="12" spans="2:24" ht="16.5" x14ac:dyDescent="0.3">
      <c r="B12" s="6" t="s">
        <v>19</v>
      </c>
      <c r="C12" s="7" t="str">
        <f>'CAPACIDAD FINANCIERA'!C14</f>
        <v>VÍAS Y CONSTRUCCIONES S.A.</v>
      </c>
      <c r="D12" s="44">
        <f>'CAPACIDAD FINANCIERA'!E14</f>
        <v>0.35</v>
      </c>
      <c r="E12" s="31">
        <f>'CAPACIDAD FINANCIERA'!F14-'CAPACIDAD FINANCIERA'!H14</f>
        <v>12272246409</v>
      </c>
      <c r="F12" s="30">
        <v>57911478991.730003</v>
      </c>
      <c r="G12" s="31">
        <f t="shared" ref="G12:G13" si="0">+E12-F12</f>
        <v>-45639232582.730003</v>
      </c>
      <c r="H12" s="31">
        <f t="shared" ref="H12:H15" si="1">IF(ISERROR((E12-F12)*D12),"",(E12-F12)*D12)</f>
        <v>-15973731403.9555</v>
      </c>
      <c r="I12" s="7"/>
      <c r="J12" s="49"/>
      <c r="K12" s="7"/>
      <c r="L12" s="7"/>
      <c r="M12" s="10"/>
    </row>
    <row r="13" spans="2:24" ht="16.5" x14ac:dyDescent="0.3">
      <c r="B13" s="6" t="s">
        <v>20</v>
      </c>
      <c r="C13" s="7" t="str">
        <f>'CAPACIDAD FINANCIERA'!C15</f>
        <v>CONSTRUCTURA COLPATRIA</v>
      </c>
      <c r="D13" s="44">
        <f>'CAPACIDAD FINANCIERA'!E15</f>
        <v>0.3</v>
      </c>
      <c r="E13" s="31">
        <f>'CAPACIDAD FINANCIERA'!F15-'CAPACIDAD FINANCIERA'!H15</f>
        <v>354714034000</v>
      </c>
      <c r="F13" s="30">
        <v>1354998869.5699999</v>
      </c>
      <c r="G13" s="31">
        <f t="shared" si="0"/>
        <v>353359035130.42999</v>
      </c>
      <c r="H13" s="31">
        <f t="shared" si="1"/>
        <v>106007710539.129</v>
      </c>
      <c r="I13" s="7"/>
      <c r="J13" s="7"/>
      <c r="K13" s="7"/>
      <c r="L13" s="7"/>
      <c r="M13" s="10"/>
    </row>
    <row r="14" spans="2:24" ht="16.5" x14ac:dyDescent="0.3">
      <c r="B14" s="6" t="s">
        <v>21</v>
      </c>
      <c r="C14" s="21"/>
      <c r="D14" s="45"/>
      <c r="E14" s="31">
        <f>'CAPACIDAD FINANCIERA'!F16-'CAPACIDAD FINANCIERA'!H16</f>
        <v>0</v>
      </c>
      <c r="F14" s="30"/>
      <c r="G14" s="31">
        <f>'CAPACIDAD FINANCIERA'!H16-'CAPACIDAD FINANCIERA'!J16</f>
        <v>0</v>
      </c>
      <c r="H14" s="31">
        <f t="shared" si="1"/>
        <v>0</v>
      </c>
      <c r="I14" s="7"/>
      <c r="J14" s="7"/>
      <c r="K14" s="7"/>
      <c r="L14" s="7"/>
      <c r="M14" s="10"/>
    </row>
    <row r="15" spans="2:24" ht="17.25" thickBot="1" x14ac:dyDescent="0.35">
      <c r="B15" s="6" t="s">
        <v>22</v>
      </c>
      <c r="C15" s="21"/>
      <c r="D15" s="45"/>
      <c r="E15" s="31">
        <f>'CAPACIDAD FINANCIERA'!F17-'CAPACIDAD FINANCIERA'!H17</f>
        <v>0</v>
      </c>
      <c r="F15" s="30"/>
      <c r="G15" s="31">
        <f>'CAPACIDAD FINANCIERA'!H17-'CAPACIDAD FINANCIERA'!J17</f>
        <v>0</v>
      </c>
      <c r="H15" s="31">
        <f t="shared" si="1"/>
        <v>0</v>
      </c>
      <c r="I15" s="7"/>
      <c r="J15" s="7"/>
      <c r="K15" s="7"/>
      <c r="L15" s="7"/>
      <c r="M15" s="10"/>
    </row>
    <row r="16" spans="2:24" ht="16.5" x14ac:dyDescent="0.3">
      <c r="B16" s="11">
        <v>2</v>
      </c>
      <c r="C16" s="12" t="str">
        <f>'CAPACIDAD FINANCIERA'!C18</f>
        <v>CONSORCIO FERCOL-FERROCARRIL COLOMBIA</v>
      </c>
      <c r="D16" s="46">
        <f>SUM(D17:D22)</f>
        <v>1</v>
      </c>
      <c r="E16" s="15">
        <f>SUM(E17:E22)</f>
        <v>280667721874.10999</v>
      </c>
      <c r="F16" s="15">
        <f>SUM(F17:F22)</f>
        <v>192380812456.70001</v>
      </c>
      <c r="G16" s="15">
        <f>SUM(G17:G22)</f>
        <v>88286909417.410004</v>
      </c>
      <c r="H16" s="15">
        <f>SUM(H17:H22)</f>
        <v>37046362824.608505</v>
      </c>
      <c r="I16" s="14">
        <f>'CAPACIDAD FINANCIERA'!K18</f>
        <v>1</v>
      </c>
      <c r="J16" s="29">
        <f>'CAPACIDAD FINANCIERA'!M18</f>
        <v>99315662209</v>
      </c>
      <c r="K16" s="14">
        <f>'CAPACIDAD FINANCIERA'!L18</f>
        <v>24</v>
      </c>
      <c r="L16" s="29">
        <f>IF(ISERROR(+J16/K16),"",(J16/K16))</f>
        <v>4138152592.0416665</v>
      </c>
      <c r="M16" s="24" t="str">
        <f>+IF(I16=0,"",IF(H16&gt;=L16,"ADMISIBLE","NO ADMISIBLE"))</f>
        <v>ADMISIBLE</v>
      </c>
    </row>
    <row r="17" spans="2:13" ht="16.5" x14ac:dyDescent="0.3">
      <c r="B17" s="6" t="s">
        <v>28</v>
      </c>
      <c r="C17" s="7" t="str">
        <f>'CAPACIDAD FINANCIERA'!C19</f>
        <v>MOTA-ENGIL COLOMBIA S.A.S</v>
      </c>
      <c r="D17" s="44">
        <f>'CAPACIDAD FINANCIERA'!E19</f>
        <v>0.05</v>
      </c>
      <c r="E17" s="31">
        <f>'CAPACIDAD FINANCIERA'!F19-'CAPACIDAD FINANCIERA'!H19</f>
        <v>308366167</v>
      </c>
      <c r="F17" s="7">
        <v>0</v>
      </c>
      <c r="G17" s="31">
        <f t="shared" ref="G17:G22" si="2">+E17-F17</f>
        <v>308366167</v>
      </c>
      <c r="H17" s="31">
        <f>IF(ISERROR((E17-F17)*D17),"",(E17-F17)*D17)</f>
        <v>15418308.350000001</v>
      </c>
      <c r="I17" s="7"/>
      <c r="J17" s="7"/>
      <c r="K17" s="7"/>
      <c r="L17" s="7"/>
      <c r="M17" s="10"/>
    </row>
    <row r="18" spans="2:13" ht="16.5" x14ac:dyDescent="0.3">
      <c r="B18" s="6" t="s">
        <v>29</v>
      </c>
      <c r="C18" s="7" t="str">
        <f>'CAPACIDAD FINANCIERA'!C20</f>
        <v>MOTA-ENGIL ENGENHARIA E CONSTRUCAO S.A SUCURSAL COLOMBIA</v>
      </c>
      <c r="D18" s="44">
        <f>'CAPACIDAD FINANCIERA'!E20</f>
        <v>0.5</v>
      </c>
      <c r="E18" s="31">
        <f>194187024466</f>
        <v>194187024466</v>
      </c>
      <c r="F18" s="50">
        <v>125954705957.25999</v>
      </c>
      <c r="G18" s="31">
        <f t="shared" si="2"/>
        <v>68232318508.740005</v>
      </c>
      <c r="H18" s="31">
        <f t="shared" ref="H18:H22" si="3">IF(ISERROR((E18-F18)*D18),"",(E18-F18)*D18)</f>
        <v>34116159254.370003</v>
      </c>
      <c r="I18" s="7"/>
      <c r="J18" s="7"/>
      <c r="K18" s="7"/>
      <c r="L18" s="7"/>
      <c r="M18" s="10"/>
    </row>
    <row r="19" spans="2:13" ht="16.5" x14ac:dyDescent="0.3">
      <c r="B19" s="6" t="s">
        <v>30</v>
      </c>
      <c r="C19" s="7" t="str">
        <f>'CAPACIDAD FINANCIERA'!C21</f>
        <v>MOTA-ENGIL PERU S.A</v>
      </c>
      <c r="D19" s="44">
        <f>'CAPACIDAD FINANCIERA'!E21</f>
        <v>0.1</v>
      </c>
      <c r="E19" s="31">
        <f>'CAPACIDAD FINANCIERA'!F21-'CAPACIDAD FINANCIERA'!H21</f>
        <v>44363726662</v>
      </c>
      <c r="F19" s="50">
        <f>43470124192.98</f>
        <v>43470124192.980003</v>
      </c>
      <c r="G19" s="31">
        <f t="shared" si="2"/>
        <v>893602469.01999664</v>
      </c>
      <c r="H19" s="31">
        <f t="shared" si="3"/>
        <v>89360246.901999667</v>
      </c>
      <c r="I19" s="7"/>
      <c r="J19" s="7"/>
      <c r="K19" s="7"/>
      <c r="L19" s="7"/>
      <c r="M19" s="10"/>
    </row>
    <row r="20" spans="2:13" ht="16.5" x14ac:dyDescent="0.3">
      <c r="B20" s="6" t="s">
        <v>31</v>
      </c>
      <c r="C20" s="7" t="str">
        <f>'CAPACIDAD FINANCIERA'!C22</f>
        <v>MANVIA-MANUTENCAO E EXPLORACAO DE INSTALACIONES E CONSTRUCAO S.A</v>
      </c>
      <c r="D20" s="44">
        <f>'CAPACIDAD FINANCIERA'!E22</f>
        <v>0.05</v>
      </c>
      <c r="E20" s="31">
        <f>'CAPACIDAD FINANCIERA'!F22-'CAPACIDAD FINANCIERA'!H22</f>
        <v>928718071</v>
      </c>
      <c r="F20" s="50">
        <v>904034811.88999999</v>
      </c>
      <c r="G20" s="31">
        <f t="shared" si="2"/>
        <v>24683259.110000014</v>
      </c>
      <c r="H20" s="31">
        <f t="shared" si="3"/>
        <v>1234162.9555000009</v>
      </c>
      <c r="I20" s="7"/>
      <c r="J20" s="7"/>
      <c r="K20" s="7"/>
      <c r="L20" s="7"/>
      <c r="M20" s="10"/>
    </row>
    <row r="21" spans="2:13" ht="16.5" x14ac:dyDescent="0.3">
      <c r="B21" s="6">
        <v>2.5</v>
      </c>
      <c r="C21" s="7" t="str">
        <f>'CAPACIDAD FINANCIERA'!C23</f>
        <v>CONSTRUCCIONES E INVERSIONES BETA S.A.S</v>
      </c>
      <c r="D21" s="44">
        <f>'CAPACIDAD FINANCIERA'!E23</f>
        <v>0.15</v>
      </c>
      <c r="E21" s="31">
        <f>'CAPACIDAD FINANCIERA'!F23-'CAPACIDAD FINANCIERA'!H23</f>
        <v>38800606995.110001</v>
      </c>
      <c r="F21" s="7">
        <v>19154964903.57</v>
      </c>
      <c r="G21" s="31">
        <f t="shared" si="2"/>
        <v>19645642091.540001</v>
      </c>
      <c r="H21" s="31">
        <f t="shared" si="3"/>
        <v>2946846313.7309999</v>
      </c>
      <c r="I21" s="7"/>
      <c r="J21" s="7"/>
      <c r="K21" s="7"/>
      <c r="L21" s="7"/>
      <c r="M21" s="10"/>
    </row>
    <row r="22" spans="2:13" ht="17.25" thickBot="1" x14ac:dyDescent="0.35">
      <c r="B22" s="6">
        <v>2.6</v>
      </c>
      <c r="C22" s="7" t="str">
        <f>'CAPACIDAD FINANCIERA'!C24</f>
        <v>IKON GROUP S.A.S</v>
      </c>
      <c r="D22" s="44">
        <f>'CAPACIDAD FINANCIERA'!E24</f>
        <v>0.15</v>
      </c>
      <c r="E22" s="31">
        <f>'CAPACIDAD FINANCIERA'!F24-'CAPACIDAD FINANCIERA'!H24</f>
        <v>2079279513</v>
      </c>
      <c r="F22" s="7">
        <v>2896982591</v>
      </c>
      <c r="G22" s="31">
        <f t="shared" si="2"/>
        <v>-817703078</v>
      </c>
      <c r="H22" s="31">
        <f t="shared" si="3"/>
        <v>-122655461.69999999</v>
      </c>
      <c r="I22" s="7"/>
      <c r="J22" s="7"/>
      <c r="K22" s="7"/>
      <c r="L22" s="7"/>
      <c r="M22" s="10"/>
    </row>
    <row r="23" spans="2:13" ht="16.5" x14ac:dyDescent="0.3">
      <c r="B23" s="11">
        <v>3</v>
      </c>
      <c r="C23" s="12" t="s">
        <v>97</v>
      </c>
      <c r="D23" s="13">
        <f>SUM(D24:D28)</f>
        <v>1</v>
      </c>
      <c r="E23" s="15">
        <f>SUM(E24:E28)</f>
        <v>128788614188</v>
      </c>
      <c r="F23" s="15">
        <f>SUM(F24:F28)</f>
        <v>56837275513.779999</v>
      </c>
      <c r="G23" s="15">
        <f>SUM(G24:G28)</f>
        <v>71951338674.220001</v>
      </c>
      <c r="H23" s="15">
        <f>SUM(H24:H28)</f>
        <v>21339229122.492599</v>
      </c>
      <c r="I23" s="14">
        <f>'CAPACIDAD FINANCIERA'!K25</f>
        <v>1</v>
      </c>
      <c r="J23" s="29">
        <f>'CAPACIDAD FINANCIERA'!M25</f>
        <v>99315662209</v>
      </c>
      <c r="K23" s="14">
        <f>'CAPACIDAD FINANCIERA'!L25</f>
        <v>24</v>
      </c>
      <c r="L23" s="29">
        <f>IF(ISERROR(+J23/K23),"",(J23/K23))</f>
        <v>4138152592.0416665</v>
      </c>
      <c r="M23" s="24" t="str">
        <f>+IF(I23=0,"",IF(H23&gt;=L23,"ADMISIBLE","NO ADMISIBLE"))</f>
        <v>ADMISIBLE</v>
      </c>
    </row>
    <row r="24" spans="2:13" ht="16.5" x14ac:dyDescent="0.3">
      <c r="B24" s="6" t="s">
        <v>32</v>
      </c>
      <c r="C24" s="7" t="s">
        <v>101</v>
      </c>
      <c r="D24" s="8">
        <v>0.33</v>
      </c>
      <c r="E24" s="31">
        <f>'CAPACIDAD FINANCIERA'!F26-'CAPACIDAD FINANCIERA'!H26</f>
        <v>61818735374</v>
      </c>
      <c r="F24" s="7">
        <v>42672538313.779999</v>
      </c>
      <c r="G24" s="31">
        <f t="shared" ref="G24:G27" si="4">+E24-F24</f>
        <v>19146197060.220001</v>
      </c>
      <c r="H24" s="31">
        <f>IF(ISERROR((E24-F24)*D24),"",(E24-F24)*D24)</f>
        <v>6318245029.8726006</v>
      </c>
      <c r="I24" s="7"/>
      <c r="J24" s="7"/>
      <c r="K24" s="7"/>
      <c r="L24" s="7"/>
      <c r="M24" s="10"/>
    </row>
    <row r="25" spans="2:13" ht="16.5" x14ac:dyDescent="0.3">
      <c r="B25" s="6" t="s">
        <v>33</v>
      </c>
      <c r="C25" s="7" t="s">
        <v>98</v>
      </c>
      <c r="D25" s="8">
        <v>0.33</v>
      </c>
      <c r="E25" s="31">
        <f>'CAPACIDAD FINANCIERA'!F27-'CAPACIDAD FINANCIERA'!H27</f>
        <v>54614073740</v>
      </c>
      <c r="F25" s="7">
        <v>14164737200</v>
      </c>
      <c r="G25" s="31">
        <f t="shared" si="4"/>
        <v>40449336540</v>
      </c>
      <c r="H25" s="31">
        <f t="shared" ref="H25:H28" si="5">IF(ISERROR((E25-F25)*D25),"",(E25-F25)*D25)</f>
        <v>13348281058.200001</v>
      </c>
      <c r="I25" s="7"/>
      <c r="J25" s="7"/>
      <c r="K25" s="7"/>
      <c r="L25" s="7"/>
      <c r="M25" s="10"/>
    </row>
    <row r="26" spans="2:13" ht="16.5" x14ac:dyDescent="0.3">
      <c r="B26" s="6" t="s">
        <v>34</v>
      </c>
      <c r="C26" s="7" t="s">
        <v>99</v>
      </c>
      <c r="D26" s="8">
        <v>0.01</v>
      </c>
      <c r="E26" s="31">
        <f>'CAPACIDAD FINANCIERA'!F28-'CAPACIDAD FINANCIERA'!H28</f>
        <v>7514727000</v>
      </c>
      <c r="F26" s="7">
        <v>0</v>
      </c>
      <c r="G26" s="31">
        <f t="shared" si="4"/>
        <v>7514727000</v>
      </c>
      <c r="H26" s="31">
        <f t="shared" si="5"/>
        <v>75147270</v>
      </c>
      <c r="I26" s="7"/>
      <c r="J26" s="7"/>
      <c r="K26" s="7"/>
      <c r="L26" s="7"/>
      <c r="M26" s="10"/>
    </row>
    <row r="27" spans="2:13" ht="16.5" x14ac:dyDescent="0.3">
      <c r="B27" s="6" t="s">
        <v>35</v>
      </c>
      <c r="C27" s="7" t="s">
        <v>100</v>
      </c>
      <c r="D27" s="8">
        <v>0.33</v>
      </c>
      <c r="E27" s="31">
        <f>'CAPACIDAD FINANCIERA'!F29-'CAPACIDAD FINANCIERA'!H29</f>
        <v>4841078074</v>
      </c>
      <c r="F27" s="7">
        <v>0</v>
      </c>
      <c r="G27" s="31">
        <f t="shared" si="4"/>
        <v>4841078074</v>
      </c>
      <c r="H27" s="31">
        <f t="shared" si="5"/>
        <v>1597555764.4200001</v>
      </c>
      <c r="I27" s="7"/>
      <c r="J27" s="7"/>
      <c r="K27" s="7"/>
      <c r="L27" s="7"/>
      <c r="M27" s="10"/>
    </row>
    <row r="28" spans="2:13" ht="17.25" thickBot="1" x14ac:dyDescent="0.35">
      <c r="B28" s="6" t="s">
        <v>36</v>
      </c>
      <c r="C28" s="7"/>
      <c r="D28" s="45"/>
      <c r="E28" s="31">
        <f>'CAPACIDAD FINANCIERA'!F30-'CAPACIDAD FINANCIERA'!H30</f>
        <v>0</v>
      </c>
      <c r="F28" s="7"/>
      <c r="G28" s="31">
        <f>'CAPACIDAD FINANCIERA'!H30-'CAPACIDAD FINANCIERA'!J30</f>
        <v>0</v>
      </c>
      <c r="H28" s="31">
        <f t="shared" si="5"/>
        <v>0</v>
      </c>
      <c r="I28" s="7"/>
      <c r="J28" s="7"/>
      <c r="K28" s="7"/>
      <c r="L28" s="7"/>
      <c r="M28" s="10"/>
    </row>
    <row r="29" spans="2:13" ht="16.5" x14ac:dyDescent="0.3">
      <c r="B29" s="11">
        <v>4</v>
      </c>
      <c r="C29" s="12" t="str">
        <f>'CAPACIDAD FINANCIERA'!C31</f>
        <v>CONSORCIO FERROVIARIO DE COLOMBIA</v>
      </c>
      <c r="D29" s="46">
        <f>SUM(D30:D32)</f>
        <v>1</v>
      </c>
      <c r="E29" s="15">
        <f>SUM(E30:E34)</f>
        <v>364509751430</v>
      </c>
      <c r="F29" s="15">
        <f>SUM(F30:F34)</f>
        <v>56839512840.489998</v>
      </c>
      <c r="G29" s="15">
        <f>SUM(G30:G34)</f>
        <v>307670238589.50995</v>
      </c>
      <c r="H29" s="15">
        <f>SUM(H30:H34)</f>
        <v>92593778076.852997</v>
      </c>
      <c r="I29" s="14">
        <f>'CAPACIDAD FINANCIERA'!K31</f>
        <v>1</v>
      </c>
      <c r="J29" s="29">
        <f>'CAPACIDAD FINANCIERA'!M31</f>
        <v>99315662209</v>
      </c>
      <c r="K29" s="14">
        <f>'CAPACIDAD FINANCIERA'!L31</f>
        <v>24</v>
      </c>
      <c r="L29" s="29">
        <f>IF(ISERROR(+J29/K29),"",(J29/K29))</f>
        <v>4138152592.0416665</v>
      </c>
      <c r="M29" s="24" t="str">
        <f>+IF(I29=0,"",IF(H29&gt;=L29,"ADMISIBLE","NO ADMISIBLE"))</f>
        <v>ADMISIBLE</v>
      </c>
    </row>
    <row r="30" spans="2:13" ht="16.5" x14ac:dyDescent="0.3">
      <c r="B30" s="6" t="s">
        <v>37</v>
      </c>
      <c r="C30" s="48" t="str">
        <f>'CAPACIDAD FINANCIERA'!C32</f>
        <v>ODINSA PROYECTO E INVERSIONES S.A.</v>
      </c>
      <c r="D30" s="44">
        <f>'CAPACIDAD FINANCIERA'!E32</f>
        <v>0.4</v>
      </c>
      <c r="E30" s="53">
        <v>2927065000</v>
      </c>
      <c r="F30" s="7">
        <v>0</v>
      </c>
      <c r="G30" s="31">
        <f t="shared" ref="G30:G32" si="6">+E30-F30</f>
        <v>2927065000</v>
      </c>
      <c r="H30" s="31">
        <f>IF(ISERROR((E30-F30)*D30),"",(E30-F30)*D30)</f>
        <v>1170826000</v>
      </c>
      <c r="I30" s="7"/>
      <c r="J30" s="7"/>
      <c r="K30" s="7"/>
      <c r="L30" s="7"/>
      <c r="M30" s="10"/>
    </row>
    <row r="31" spans="2:13" ht="16.5" x14ac:dyDescent="0.3">
      <c r="B31" s="6" t="s">
        <v>38</v>
      </c>
      <c r="C31" s="48" t="str">
        <f>'CAPACIDAD FINANCIERA'!C33</f>
        <v>CONSTRUCCIONES EL CONDOR S.A.</v>
      </c>
      <c r="D31" s="44">
        <f>'CAPACIDAD FINANCIERA'!E33</f>
        <v>0.3</v>
      </c>
      <c r="E31" s="31">
        <f>'CAPACIDAD FINANCIERA'!F33-'CAPACIDAD FINANCIERA'!H33</f>
        <v>330326820000</v>
      </c>
      <c r="F31" s="7">
        <v>54992444581.029999</v>
      </c>
      <c r="G31" s="31">
        <f t="shared" si="6"/>
        <v>275334375418.96997</v>
      </c>
      <c r="H31" s="31">
        <f t="shared" ref="H31:H34" si="7">IF(ISERROR((E31-F31)*D31),"",(E31-F31)*D31)</f>
        <v>82600312625.690994</v>
      </c>
      <c r="I31" s="7"/>
      <c r="J31" s="7"/>
      <c r="K31" s="7"/>
      <c r="L31" s="7"/>
      <c r="M31" s="10"/>
    </row>
    <row r="32" spans="2:13" ht="16.5" x14ac:dyDescent="0.3">
      <c r="B32" s="6" t="s">
        <v>39</v>
      </c>
      <c r="C32" s="48" t="str">
        <f>'CAPACIDAD FINANCIERA'!C34</f>
        <v>CASTRO TCHERASSI</v>
      </c>
      <c r="D32" s="44">
        <f>'CAPACIDAD FINANCIERA'!E34</f>
        <v>0.3</v>
      </c>
      <c r="E32" s="31">
        <f>'CAPACIDAD FINANCIERA'!F34-'CAPACIDAD FINANCIERA'!H34</f>
        <v>31255866430</v>
      </c>
      <c r="F32" s="7">
        <v>1847068259.46</v>
      </c>
      <c r="G32" s="31">
        <f t="shared" si="6"/>
        <v>29408798170.540001</v>
      </c>
      <c r="H32" s="31">
        <f t="shared" si="7"/>
        <v>8822639451.1620007</v>
      </c>
      <c r="I32" s="7"/>
      <c r="J32" s="7"/>
      <c r="K32" s="7"/>
      <c r="L32" s="7"/>
      <c r="M32" s="10"/>
    </row>
    <row r="33" spans="2:13" ht="16.5" x14ac:dyDescent="0.3">
      <c r="B33" s="6" t="s">
        <v>40</v>
      </c>
      <c r="C33" s="7"/>
      <c r="D33" s="45"/>
      <c r="E33" s="31">
        <f>'CAPACIDAD FINANCIERA'!F35-'CAPACIDAD FINANCIERA'!H35</f>
        <v>0</v>
      </c>
      <c r="F33" s="7"/>
      <c r="G33" s="31">
        <f>'CAPACIDAD FINANCIERA'!H35-'CAPACIDAD FINANCIERA'!J35</f>
        <v>0</v>
      </c>
      <c r="H33" s="31">
        <f t="shared" si="7"/>
        <v>0</v>
      </c>
      <c r="I33" s="7"/>
      <c r="J33" s="7"/>
      <c r="K33" s="7"/>
      <c r="L33" s="7"/>
      <c r="M33" s="10"/>
    </row>
    <row r="34" spans="2:13" ht="17.25" thickBot="1" x14ac:dyDescent="0.35">
      <c r="B34" s="16" t="s">
        <v>41</v>
      </c>
      <c r="C34" s="17"/>
      <c r="D34" s="47"/>
      <c r="E34" s="34">
        <f>'CAPACIDAD FINANCIERA'!F36-'CAPACIDAD FINANCIERA'!H36</f>
        <v>0</v>
      </c>
      <c r="F34" s="17"/>
      <c r="G34" s="34">
        <f>'CAPACIDAD FINANCIERA'!H36-'CAPACIDAD FINANCIERA'!J36</f>
        <v>0</v>
      </c>
      <c r="H34" s="34">
        <f t="shared" si="7"/>
        <v>0</v>
      </c>
      <c r="I34" s="17"/>
      <c r="J34" s="17"/>
      <c r="K34" s="17"/>
      <c r="L34" s="17"/>
      <c r="M34" s="19"/>
    </row>
    <row r="35" spans="2:13" ht="16.5" hidden="1" x14ac:dyDescent="0.3">
      <c r="B35" s="26">
        <v>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3"/>
    </row>
    <row r="36" spans="2:13" ht="16.5" hidden="1" x14ac:dyDescent="0.3">
      <c r="B36" s="6" t="s">
        <v>42</v>
      </c>
      <c r="C36" s="7"/>
      <c r="D36" s="9"/>
      <c r="E36" s="7"/>
      <c r="F36" s="7"/>
      <c r="G36" s="7"/>
      <c r="H36" s="7"/>
      <c r="I36" s="7"/>
      <c r="J36" s="7"/>
      <c r="K36" s="7"/>
      <c r="L36" s="7"/>
      <c r="M36" s="10"/>
    </row>
    <row r="37" spans="2:13" ht="16.5" hidden="1" x14ac:dyDescent="0.3">
      <c r="B37" s="6" t="s">
        <v>43</v>
      </c>
      <c r="C37" s="7"/>
      <c r="D37" s="9"/>
      <c r="E37" s="7"/>
      <c r="F37" s="7"/>
      <c r="G37" s="7"/>
      <c r="H37" s="7"/>
      <c r="I37" s="7"/>
      <c r="J37" s="7"/>
      <c r="K37" s="7"/>
      <c r="L37" s="7"/>
      <c r="M37" s="10"/>
    </row>
    <row r="38" spans="2:13" ht="16.5" hidden="1" x14ac:dyDescent="0.3">
      <c r="B38" s="6" t="s">
        <v>44</v>
      </c>
      <c r="C38" s="7"/>
      <c r="D38" s="9"/>
      <c r="E38" s="7"/>
      <c r="F38" s="7"/>
      <c r="G38" s="7"/>
      <c r="H38" s="7"/>
      <c r="I38" s="7"/>
      <c r="J38" s="7"/>
      <c r="K38" s="7"/>
      <c r="L38" s="7"/>
      <c r="M38" s="10"/>
    </row>
    <row r="39" spans="2:13" ht="16.5" hidden="1" x14ac:dyDescent="0.3">
      <c r="B39" s="6" t="s">
        <v>45</v>
      </c>
      <c r="C39" s="7"/>
      <c r="D39" s="9"/>
      <c r="E39" s="7"/>
      <c r="F39" s="7"/>
      <c r="G39" s="7"/>
      <c r="H39" s="7"/>
      <c r="I39" s="7"/>
      <c r="J39" s="7"/>
      <c r="K39" s="7"/>
      <c r="L39" s="7"/>
      <c r="M39" s="10"/>
    </row>
    <row r="40" spans="2:13" ht="16.5" hidden="1" x14ac:dyDescent="0.3">
      <c r="B40" s="6" t="s">
        <v>46</v>
      </c>
      <c r="C40" s="7"/>
      <c r="D40" s="9"/>
      <c r="E40" s="7"/>
      <c r="F40" s="7"/>
      <c r="G40" s="7"/>
      <c r="H40" s="7"/>
      <c r="I40" s="7"/>
      <c r="J40" s="7"/>
      <c r="K40" s="7"/>
      <c r="L40" s="7"/>
      <c r="M40" s="10"/>
    </row>
    <row r="41" spans="2:13" ht="16.5" hidden="1" x14ac:dyDescent="0.3">
      <c r="B41" s="11">
        <v>6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20"/>
    </row>
    <row r="42" spans="2:13" ht="16.5" hidden="1" x14ac:dyDescent="0.3">
      <c r="B42" s="6" t="s">
        <v>47</v>
      </c>
      <c r="C42" s="7"/>
      <c r="D42" s="9"/>
      <c r="E42" s="7"/>
      <c r="F42" s="7"/>
      <c r="G42" s="7"/>
      <c r="H42" s="7"/>
      <c r="I42" s="7"/>
      <c r="J42" s="7"/>
      <c r="K42" s="7"/>
      <c r="L42" s="7"/>
      <c r="M42" s="10"/>
    </row>
    <row r="43" spans="2:13" ht="16.5" hidden="1" x14ac:dyDescent="0.3">
      <c r="B43" s="6" t="s">
        <v>48</v>
      </c>
      <c r="C43" s="7"/>
      <c r="D43" s="9"/>
      <c r="E43" s="7"/>
      <c r="F43" s="7"/>
      <c r="G43" s="7"/>
      <c r="H43" s="7"/>
      <c r="I43" s="7"/>
      <c r="J43" s="7"/>
      <c r="K43" s="7"/>
      <c r="L43" s="7"/>
      <c r="M43" s="10"/>
    </row>
    <row r="44" spans="2:13" ht="16.5" hidden="1" x14ac:dyDescent="0.3">
      <c r="B44" s="6" t="s">
        <v>49</v>
      </c>
      <c r="C44" s="7"/>
      <c r="D44" s="9"/>
      <c r="E44" s="7"/>
      <c r="F44" s="7"/>
      <c r="G44" s="7"/>
      <c r="H44" s="7"/>
      <c r="I44" s="7"/>
      <c r="J44" s="7"/>
      <c r="K44" s="7"/>
      <c r="L44" s="7"/>
      <c r="M44" s="10"/>
    </row>
    <row r="45" spans="2:13" ht="16.5" hidden="1" x14ac:dyDescent="0.3">
      <c r="B45" s="6" t="s">
        <v>50</v>
      </c>
      <c r="C45" s="7"/>
      <c r="D45" s="9"/>
      <c r="E45" s="7"/>
      <c r="F45" s="7"/>
      <c r="G45" s="7"/>
      <c r="H45" s="7"/>
      <c r="I45" s="7"/>
      <c r="J45" s="7"/>
      <c r="K45" s="7"/>
      <c r="L45" s="7"/>
      <c r="M45" s="10"/>
    </row>
    <row r="46" spans="2:13" ht="16.5" hidden="1" x14ac:dyDescent="0.3">
      <c r="B46" s="6" t="s">
        <v>51</v>
      </c>
      <c r="C46" s="7"/>
      <c r="D46" s="9"/>
      <c r="E46" s="7"/>
      <c r="F46" s="7"/>
      <c r="G46" s="7"/>
      <c r="H46" s="7"/>
      <c r="I46" s="7"/>
      <c r="J46" s="7"/>
      <c r="K46" s="7"/>
      <c r="L46" s="7"/>
      <c r="M46" s="10"/>
    </row>
    <row r="47" spans="2:13" ht="16.5" hidden="1" x14ac:dyDescent="0.3">
      <c r="B47" s="11">
        <v>7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20"/>
    </row>
    <row r="48" spans="2:13" ht="16.5" hidden="1" x14ac:dyDescent="0.3">
      <c r="B48" s="6" t="s">
        <v>52</v>
      </c>
      <c r="C48" s="7"/>
      <c r="D48" s="9"/>
      <c r="E48" s="7"/>
      <c r="F48" s="7"/>
      <c r="G48" s="7"/>
      <c r="H48" s="7"/>
      <c r="I48" s="7"/>
      <c r="J48" s="7"/>
      <c r="K48" s="7"/>
      <c r="L48" s="7"/>
      <c r="M48" s="10"/>
    </row>
    <row r="49" spans="2:13" ht="16.5" hidden="1" x14ac:dyDescent="0.3">
      <c r="B49" s="6" t="s">
        <v>53</v>
      </c>
      <c r="C49" s="7"/>
      <c r="D49" s="9"/>
      <c r="E49" s="7"/>
      <c r="F49" s="7"/>
      <c r="G49" s="7"/>
      <c r="H49" s="7"/>
      <c r="I49" s="7"/>
      <c r="J49" s="7"/>
      <c r="K49" s="7"/>
      <c r="L49" s="7"/>
      <c r="M49" s="10"/>
    </row>
    <row r="50" spans="2:13" ht="16.5" hidden="1" x14ac:dyDescent="0.3">
      <c r="B50" s="6" t="s">
        <v>54</v>
      </c>
      <c r="C50" s="7"/>
      <c r="D50" s="9"/>
      <c r="E50" s="7"/>
      <c r="F50" s="7"/>
      <c r="G50" s="7"/>
      <c r="H50" s="7"/>
      <c r="I50" s="7"/>
      <c r="J50" s="7"/>
      <c r="K50" s="7"/>
      <c r="L50" s="7"/>
      <c r="M50" s="10"/>
    </row>
    <row r="51" spans="2:13" ht="16.5" hidden="1" x14ac:dyDescent="0.3">
      <c r="B51" s="6" t="s">
        <v>55</v>
      </c>
      <c r="C51" s="7"/>
      <c r="D51" s="9"/>
      <c r="E51" s="7"/>
      <c r="F51" s="7"/>
      <c r="G51" s="7"/>
      <c r="H51" s="7"/>
      <c r="I51" s="7"/>
      <c r="J51" s="7"/>
      <c r="K51" s="7"/>
      <c r="L51" s="7"/>
      <c r="M51" s="10"/>
    </row>
    <row r="52" spans="2:13" ht="16.5" hidden="1" x14ac:dyDescent="0.3">
      <c r="B52" s="6" t="s">
        <v>56</v>
      </c>
      <c r="C52" s="7"/>
      <c r="D52" s="9"/>
      <c r="E52" s="7"/>
      <c r="F52" s="7"/>
      <c r="G52" s="7"/>
      <c r="H52" s="7"/>
      <c r="I52" s="7"/>
      <c r="J52" s="7"/>
      <c r="K52" s="7"/>
      <c r="L52" s="7"/>
      <c r="M52" s="10"/>
    </row>
    <row r="53" spans="2:13" ht="16.5" hidden="1" x14ac:dyDescent="0.3">
      <c r="B53" s="11">
        <v>8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20"/>
    </row>
    <row r="54" spans="2:13" ht="16.5" hidden="1" x14ac:dyDescent="0.3">
      <c r="B54" s="6" t="s">
        <v>57</v>
      </c>
      <c r="C54" s="7"/>
      <c r="D54" s="9"/>
      <c r="E54" s="7"/>
      <c r="F54" s="7"/>
      <c r="G54" s="7"/>
      <c r="H54" s="7"/>
      <c r="I54" s="7"/>
      <c r="J54" s="7"/>
      <c r="K54" s="7"/>
      <c r="L54" s="7"/>
      <c r="M54" s="10"/>
    </row>
    <row r="55" spans="2:13" ht="16.5" hidden="1" x14ac:dyDescent="0.3">
      <c r="B55" s="6" t="s">
        <v>58</v>
      </c>
      <c r="C55" s="7"/>
      <c r="D55" s="9"/>
      <c r="E55" s="7"/>
      <c r="F55" s="7"/>
      <c r="G55" s="7"/>
      <c r="H55" s="7"/>
      <c r="I55" s="7"/>
      <c r="J55" s="7"/>
      <c r="K55" s="7"/>
      <c r="L55" s="7"/>
      <c r="M55" s="10"/>
    </row>
    <row r="56" spans="2:13" ht="16.5" hidden="1" x14ac:dyDescent="0.3">
      <c r="B56" s="6" t="s">
        <v>59</v>
      </c>
      <c r="C56" s="7"/>
      <c r="D56" s="9"/>
      <c r="E56" s="7"/>
      <c r="F56" s="7"/>
      <c r="G56" s="7"/>
      <c r="H56" s="7"/>
      <c r="I56" s="7"/>
      <c r="J56" s="7"/>
      <c r="K56" s="7"/>
      <c r="L56" s="7"/>
      <c r="M56" s="10"/>
    </row>
    <row r="57" spans="2:13" ht="16.5" hidden="1" x14ac:dyDescent="0.3">
      <c r="B57" s="6" t="s">
        <v>60</v>
      </c>
      <c r="C57" s="7"/>
      <c r="D57" s="9"/>
      <c r="E57" s="7"/>
      <c r="F57" s="7"/>
      <c r="G57" s="7"/>
      <c r="H57" s="7"/>
      <c r="I57" s="7"/>
      <c r="J57" s="7"/>
      <c r="K57" s="7"/>
      <c r="L57" s="7"/>
      <c r="M57" s="10"/>
    </row>
    <row r="58" spans="2:13" ht="16.5" hidden="1" x14ac:dyDescent="0.3">
      <c r="B58" s="6" t="s">
        <v>61</v>
      </c>
      <c r="C58" s="7"/>
      <c r="D58" s="9"/>
      <c r="E58" s="7"/>
      <c r="F58" s="7"/>
      <c r="G58" s="7"/>
      <c r="H58" s="7"/>
      <c r="I58" s="7"/>
      <c r="J58" s="7"/>
      <c r="K58" s="7"/>
      <c r="L58" s="7"/>
      <c r="M58" s="10"/>
    </row>
    <row r="59" spans="2:13" ht="16.5" hidden="1" x14ac:dyDescent="0.3">
      <c r="B59" s="11">
        <v>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20"/>
    </row>
    <row r="60" spans="2:13" ht="16.5" hidden="1" x14ac:dyDescent="0.3">
      <c r="B60" s="6" t="s">
        <v>62</v>
      </c>
      <c r="C60" s="7"/>
      <c r="D60" s="9"/>
      <c r="E60" s="7"/>
      <c r="F60" s="7"/>
      <c r="G60" s="7"/>
      <c r="H60" s="7"/>
      <c r="I60" s="7"/>
      <c r="J60" s="7"/>
      <c r="K60" s="7"/>
      <c r="L60" s="7"/>
      <c r="M60" s="10"/>
    </row>
    <row r="61" spans="2:13" ht="16.5" hidden="1" x14ac:dyDescent="0.3">
      <c r="B61" s="6" t="s">
        <v>63</v>
      </c>
      <c r="C61" s="7"/>
      <c r="D61" s="9"/>
      <c r="E61" s="7"/>
      <c r="F61" s="7"/>
      <c r="G61" s="7"/>
      <c r="H61" s="7"/>
      <c r="I61" s="7"/>
      <c r="J61" s="7"/>
      <c r="K61" s="7"/>
      <c r="L61" s="7"/>
      <c r="M61" s="10"/>
    </row>
    <row r="62" spans="2:13" ht="16.5" hidden="1" x14ac:dyDescent="0.3">
      <c r="B62" s="6" t="s">
        <v>64</v>
      </c>
      <c r="C62" s="7"/>
      <c r="D62" s="9"/>
      <c r="E62" s="7"/>
      <c r="F62" s="7"/>
      <c r="G62" s="7"/>
      <c r="H62" s="7"/>
      <c r="I62" s="7"/>
      <c r="J62" s="7"/>
      <c r="K62" s="7"/>
      <c r="L62" s="7"/>
      <c r="M62" s="10"/>
    </row>
    <row r="63" spans="2:13" ht="16.5" hidden="1" x14ac:dyDescent="0.3">
      <c r="B63" s="6" t="s">
        <v>65</v>
      </c>
      <c r="C63" s="7"/>
      <c r="D63" s="9"/>
      <c r="E63" s="7"/>
      <c r="F63" s="7"/>
      <c r="G63" s="7"/>
      <c r="H63" s="7"/>
      <c r="I63" s="7"/>
      <c r="J63" s="7"/>
      <c r="K63" s="7"/>
      <c r="L63" s="7"/>
      <c r="M63" s="10"/>
    </row>
    <row r="64" spans="2:13" ht="16.5" hidden="1" x14ac:dyDescent="0.3">
      <c r="B64" s="6" t="s">
        <v>66</v>
      </c>
      <c r="C64" s="7"/>
      <c r="D64" s="9"/>
      <c r="E64" s="7"/>
      <c r="F64" s="7"/>
      <c r="G64" s="7"/>
      <c r="H64" s="7"/>
      <c r="I64" s="7"/>
      <c r="J64" s="7"/>
      <c r="K64" s="7"/>
      <c r="L64" s="7"/>
      <c r="M64" s="10"/>
    </row>
    <row r="65" spans="2:13" ht="16.5" hidden="1" x14ac:dyDescent="0.3">
      <c r="B65" s="11">
        <v>10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20"/>
    </row>
    <row r="66" spans="2:13" ht="16.5" hidden="1" x14ac:dyDescent="0.3">
      <c r="B66" s="6" t="s">
        <v>67</v>
      </c>
      <c r="C66" s="7"/>
      <c r="D66" s="9"/>
      <c r="E66" s="7"/>
      <c r="F66" s="7"/>
      <c r="G66" s="7"/>
      <c r="H66" s="7"/>
      <c r="I66" s="7"/>
      <c r="J66" s="7"/>
      <c r="K66" s="7"/>
      <c r="L66" s="7"/>
      <c r="M66" s="10"/>
    </row>
    <row r="67" spans="2:13" ht="16.5" hidden="1" x14ac:dyDescent="0.3">
      <c r="B67" s="6" t="s">
        <v>68</v>
      </c>
      <c r="C67" s="7"/>
      <c r="D67" s="9"/>
      <c r="E67" s="7"/>
      <c r="F67" s="7"/>
      <c r="G67" s="7"/>
      <c r="H67" s="7"/>
      <c r="I67" s="7"/>
      <c r="J67" s="7"/>
      <c r="K67" s="7"/>
      <c r="L67" s="7"/>
      <c r="M67" s="10"/>
    </row>
    <row r="68" spans="2:13" ht="16.5" hidden="1" x14ac:dyDescent="0.3">
      <c r="B68" s="6" t="s">
        <v>69</v>
      </c>
      <c r="C68" s="7"/>
      <c r="D68" s="9"/>
      <c r="E68" s="7"/>
      <c r="F68" s="7"/>
      <c r="G68" s="7"/>
      <c r="H68" s="7"/>
      <c r="I68" s="7"/>
      <c r="J68" s="7"/>
      <c r="K68" s="7"/>
      <c r="L68" s="7"/>
      <c r="M68" s="10"/>
    </row>
    <row r="69" spans="2:13" ht="16.5" hidden="1" x14ac:dyDescent="0.3">
      <c r="B69" s="6" t="s">
        <v>70</v>
      </c>
      <c r="C69" s="7"/>
      <c r="D69" s="9"/>
      <c r="E69" s="7"/>
      <c r="F69" s="7"/>
      <c r="G69" s="7"/>
      <c r="H69" s="7"/>
      <c r="I69" s="7"/>
      <c r="J69" s="7"/>
      <c r="K69" s="7"/>
      <c r="L69" s="7"/>
      <c r="M69" s="10"/>
    </row>
    <row r="70" spans="2:13" ht="17.25" hidden="1" thickBot="1" x14ac:dyDescent="0.35">
      <c r="B70" s="16" t="s">
        <v>71</v>
      </c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9"/>
    </row>
    <row r="79" spans="2:13" customFormat="1" ht="14.4" x14ac:dyDescent="0.3">
      <c r="C79" s="54" t="s">
        <v>120</v>
      </c>
      <c r="I79" s="54" t="s">
        <v>121</v>
      </c>
    </row>
    <row r="80" spans="2:13" customFormat="1" ht="14.4" x14ac:dyDescent="0.3">
      <c r="C80" s="54" t="s">
        <v>122</v>
      </c>
      <c r="I80" s="54" t="s">
        <v>122</v>
      </c>
    </row>
  </sheetData>
  <mergeCells count="16">
    <mergeCell ref="G7:G8"/>
    <mergeCell ref="B2:X2"/>
    <mergeCell ref="B3:X3"/>
    <mergeCell ref="B4:X4"/>
    <mergeCell ref="B6:X6"/>
    <mergeCell ref="B7:B9"/>
    <mergeCell ref="C7:C9"/>
    <mergeCell ref="D7:D9"/>
    <mergeCell ref="E7:E8"/>
    <mergeCell ref="F7:F9"/>
    <mergeCell ref="H7:H8"/>
    <mergeCell ref="I7:I9"/>
    <mergeCell ref="J7:J9"/>
    <mergeCell ref="K7:K9"/>
    <mergeCell ref="L7:L9"/>
    <mergeCell ref="M7:M9"/>
  </mergeCells>
  <pageMargins left="0.70866141732283472" right="0.15748031496062992" top="0.74803149606299213" bottom="0.74803149606299213" header="0.31496062992125984" footer="0.31496062992125984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80"/>
  <sheetViews>
    <sheetView topLeftCell="B3" zoomScale="70" zoomScaleNormal="70" workbookViewId="0">
      <selection activeCell="D21" sqref="D21"/>
    </sheetView>
  </sheetViews>
  <sheetFormatPr baseColWidth="10" defaultColWidth="11.44140625" defaultRowHeight="13.8" x14ac:dyDescent="0.25"/>
  <cols>
    <col min="1" max="1" width="11.44140625" style="1"/>
    <col min="2" max="2" width="12.109375" style="1" customWidth="1"/>
    <col min="3" max="3" width="48.6640625" style="1" customWidth="1"/>
    <col min="4" max="4" width="21.44140625" style="1" customWidth="1"/>
    <col min="5" max="5" width="35.109375" style="1" customWidth="1"/>
    <col min="6" max="6" width="23.5546875" style="1" bestFit="1" customWidth="1"/>
    <col min="7" max="7" width="23.5546875" style="1" customWidth="1"/>
    <col min="8" max="8" width="31.33203125" style="1" customWidth="1"/>
    <col min="9" max="9" width="11.44140625" style="1"/>
    <col min="10" max="10" width="26.88671875" style="1" customWidth="1"/>
    <col min="11" max="11" width="14.6640625" style="1" customWidth="1"/>
    <col min="12" max="12" width="29.33203125" style="1" bestFit="1" customWidth="1"/>
    <col min="13" max="13" width="23.88671875" style="1" customWidth="1"/>
    <col min="14" max="16384" width="11.44140625" style="1"/>
  </cols>
  <sheetData>
    <row r="2" spans="2:24" ht="16.5" x14ac:dyDescent="0.3">
      <c r="B2" s="201" t="s">
        <v>75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</row>
    <row r="3" spans="2:24" x14ac:dyDescent="0.25">
      <c r="B3" s="201" t="s">
        <v>76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</row>
    <row r="4" spans="2:24" x14ac:dyDescent="0.25">
      <c r="B4" s="201" t="s">
        <v>118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</row>
    <row r="5" spans="2:24" ht="16.5" x14ac:dyDescent="0.3">
      <c r="B5" s="38"/>
      <c r="C5" s="38"/>
      <c r="D5" s="38"/>
      <c r="E5" s="38"/>
      <c r="F5" s="38"/>
      <c r="G5" s="42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2:24" ht="17.25" thickBot="1" x14ac:dyDescent="0.35"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</row>
    <row r="7" spans="2:24" ht="39.75" customHeight="1" x14ac:dyDescent="0.25">
      <c r="B7" s="199" t="s">
        <v>77</v>
      </c>
      <c r="C7" s="204" t="s">
        <v>1</v>
      </c>
      <c r="D7" s="199" t="s">
        <v>78</v>
      </c>
      <c r="E7" s="199" t="s">
        <v>82</v>
      </c>
      <c r="F7" s="199" t="s">
        <v>81</v>
      </c>
      <c r="G7" s="40"/>
      <c r="H7" s="199" t="s">
        <v>124</v>
      </c>
      <c r="I7" s="199" t="s">
        <v>80</v>
      </c>
      <c r="J7" s="199" t="s">
        <v>83</v>
      </c>
      <c r="K7" s="199" t="s">
        <v>7</v>
      </c>
      <c r="L7" s="199" t="s">
        <v>84</v>
      </c>
      <c r="M7" s="206" t="s">
        <v>85</v>
      </c>
    </row>
    <row r="8" spans="2:24" ht="26.25" customHeight="1" thickBot="1" x14ac:dyDescent="0.3">
      <c r="B8" s="203"/>
      <c r="C8" s="205"/>
      <c r="D8" s="203"/>
      <c r="E8" s="200"/>
      <c r="F8" s="203"/>
      <c r="G8" s="41"/>
      <c r="H8" s="200"/>
      <c r="I8" s="203"/>
      <c r="J8" s="203"/>
      <c r="K8" s="203"/>
      <c r="L8" s="203"/>
      <c r="M8" s="207"/>
    </row>
    <row r="9" spans="2:24" ht="36.75" customHeight="1" thickBot="1" x14ac:dyDescent="0.3">
      <c r="B9" s="203"/>
      <c r="C9" s="205"/>
      <c r="D9" s="203"/>
      <c r="E9" s="23" t="s">
        <v>79</v>
      </c>
      <c r="F9" s="203"/>
      <c r="G9" s="41"/>
      <c r="H9" s="25" t="s">
        <v>79</v>
      </c>
      <c r="I9" s="203"/>
      <c r="J9" s="203"/>
      <c r="K9" s="203"/>
      <c r="L9" s="203"/>
      <c r="M9" s="207"/>
    </row>
    <row r="10" spans="2:24" x14ac:dyDescent="0.25">
      <c r="B10" s="2">
        <v>1</v>
      </c>
      <c r="C10" s="3" t="s">
        <v>126</v>
      </c>
      <c r="D10" s="43">
        <f>'CAPACIDAD FINANCIERA'!E12</f>
        <v>1</v>
      </c>
      <c r="E10" s="5">
        <f>SUM(E11:E15)</f>
        <v>1112421801409</v>
      </c>
      <c r="F10" s="5">
        <f>SUM(F11:F15)</f>
        <v>250999946051.13</v>
      </c>
      <c r="G10" s="5"/>
      <c r="H10" s="5">
        <f>SUM(H11:H15)</f>
        <v>283829697618.73303</v>
      </c>
      <c r="I10" s="4">
        <f>'CAPACIDAD FINANCIERA'!K12</f>
        <v>1</v>
      </c>
      <c r="J10" s="28">
        <f>'CAPACIDAD FINANCIERA'!M12</f>
        <v>99315662209</v>
      </c>
      <c r="K10" s="4">
        <f>'CAPACIDAD FINANCIERA'!L12</f>
        <v>24</v>
      </c>
      <c r="L10" s="32">
        <f>IF(ISERROR(+J10/K10),"",(J10/K10))</f>
        <v>4138152592.0416665</v>
      </c>
      <c r="M10" s="24" t="str">
        <f>+IF(I10=0,"",IF(H10&gt;=L10,"ADMISIBLE","NO ADMISIBLE"))</f>
        <v>ADMISIBLE</v>
      </c>
    </row>
    <row r="11" spans="2:24" ht="16.5" x14ac:dyDescent="0.3">
      <c r="B11" s="6" t="s">
        <v>18</v>
      </c>
      <c r="C11" s="7" t="s">
        <v>94</v>
      </c>
      <c r="D11" s="44">
        <f>'CAPACIDAD FINANCIERA'!E13</f>
        <v>0.35</v>
      </c>
      <c r="E11" s="31">
        <v>745435521000</v>
      </c>
      <c r="F11" s="30">
        <v>191733468189.82999</v>
      </c>
      <c r="G11" s="30"/>
      <c r="H11" s="31">
        <f>IF(ISERROR((E11-F11)*D11),"",(E11-F11)*D11)</f>
        <v>193795718483.55951</v>
      </c>
      <c r="I11" s="7"/>
      <c r="J11" s="7"/>
      <c r="K11" s="7"/>
      <c r="L11" s="7"/>
      <c r="M11" s="10"/>
    </row>
    <row r="12" spans="2:24" ht="16.5" x14ac:dyDescent="0.3">
      <c r="B12" s="6" t="s">
        <v>19</v>
      </c>
      <c r="C12" s="7" t="str">
        <f>'CAPACIDAD FINANCIERA'!C14</f>
        <v>VÍAS Y CONSTRUCCIONES S.A.</v>
      </c>
      <c r="D12" s="44">
        <f>'CAPACIDAD FINANCIERA'!E14</f>
        <v>0.35</v>
      </c>
      <c r="E12" s="31">
        <f>'CAPACIDAD FINANCIERA'!F14-'CAPACIDAD FINANCIERA'!H14</f>
        <v>12272246409</v>
      </c>
      <c r="F12" s="30">
        <v>57911478991.730003</v>
      </c>
      <c r="G12" s="30"/>
      <c r="H12" s="31">
        <f t="shared" ref="H12:H15" si="0">IF(ISERROR((E12-F12)*D12),"",(E12-F12)*D12)</f>
        <v>-15973731403.9555</v>
      </c>
      <c r="I12" s="7"/>
      <c r="J12" s="49"/>
      <c r="K12" s="7"/>
      <c r="L12" s="7"/>
      <c r="M12" s="10"/>
    </row>
    <row r="13" spans="2:24" ht="16.5" x14ac:dyDescent="0.3">
      <c r="B13" s="6" t="s">
        <v>20</v>
      </c>
      <c r="C13" s="7" t="str">
        <f>'CAPACIDAD FINANCIERA'!C15</f>
        <v>CONSTRUCTURA COLPATRIA</v>
      </c>
      <c r="D13" s="44">
        <f>'CAPACIDAD FINANCIERA'!E15</f>
        <v>0.3</v>
      </c>
      <c r="E13" s="31">
        <f>'CAPACIDAD FINANCIERA'!F15-'CAPACIDAD FINANCIERA'!H15</f>
        <v>354714034000</v>
      </c>
      <c r="F13" s="30">
        <v>1354998869.5699999</v>
      </c>
      <c r="G13" s="30"/>
      <c r="H13" s="31">
        <f t="shared" si="0"/>
        <v>106007710539.129</v>
      </c>
      <c r="I13" s="7"/>
      <c r="J13" s="7"/>
      <c r="K13" s="7"/>
      <c r="L13" s="7"/>
      <c r="M13" s="10"/>
    </row>
    <row r="14" spans="2:24" ht="16.5" x14ac:dyDescent="0.3">
      <c r="B14" s="6" t="s">
        <v>21</v>
      </c>
      <c r="C14" s="21"/>
      <c r="D14" s="45"/>
      <c r="E14" s="31">
        <f>'CAPACIDAD FINANCIERA'!F16-'CAPACIDAD FINANCIERA'!H16</f>
        <v>0</v>
      </c>
      <c r="F14" s="30"/>
      <c r="G14" s="30"/>
      <c r="H14" s="31">
        <f t="shared" si="0"/>
        <v>0</v>
      </c>
      <c r="I14" s="7"/>
      <c r="J14" s="7"/>
      <c r="K14" s="7"/>
      <c r="L14" s="7"/>
      <c r="M14" s="10"/>
    </row>
    <row r="15" spans="2:24" ht="17.25" thickBot="1" x14ac:dyDescent="0.35">
      <c r="B15" s="6" t="s">
        <v>22</v>
      </c>
      <c r="C15" s="21"/>
      <c r="D15" s="45"/>
      <c r="E15" s="31">
        <f>'CAPACIDAD FINANCIERA'!F17-'CAPACIDAD FINANCIERA'!H17</f>
        <v>0</v>
      </c>
      <c r="F15" s="30"/>
      <c r="G15" s="30"/>
      <c r="H15" s="31">
        <f t="shared" si="0"/>
        <v>0</v>
      </c>
      <c r="I15" s="7"/>
      <c r="J15" s="7"/>
      <c r="K15" s="7"/>
      <c r="L15" s="7"/>
      <c r="M15" s="10"/>
    </row>
    <row r="16" spans="2:24" ht="16.5" x14ac:dyDescent="0.3">
      <c r="B16" s="11">
        <v>2</v>
      </c>
      <c r="C16" s="12" t="str">
        <f>'CAPACIDAD FINANCIERA'!C18</f>
        <v>CONSORCIO FERCOL-FERROCARRIL COLOMBIA</v>
      </c>
      <c r="D16" s="46">
        <f>SUM(D17:D22)</f>
        <v>1</v>
      </c>
      <c r="E16" s="15">
        <f>SUM(E17:E22)</f>
        <v>280667721874.10999</v>
      </c>
      <c r="F16" s="15">
        <f>SUM(F17:F22)</f>
        <v>192380812456.70001</v>
      </c>
      <c r="G16" s="15"/>
      <c r="H16" s="15">
        <f>SUM(H17:H22)</f>
        <v>37046362824.608505</v>
      </c>
      <c r="I16" s="14">
        <f>'CAPACIDAD FINANCIERA'!K18</f>
        <v>1</v>
      </c>
      <c r="J16" s="29">
        <f>'CAPACIDAD FINANCIERA'!M18</f>
        <v>99315662209</v>
      </c>
      <c r="K16" s="14">
        <f>'CAPACIDAD FINANCIERA'!L18</f>
        <v>24</v>
      </c>
      <c r="L16" s="29">
        <f>IF(ISERROR(+J16/K16),"",(J16/K16))</f>
        <v>4138152592.0416665</v>
      </c>
      <c r="M16" s="24" t="str">
        <f>+IF(I16=0,"",IF(H16&gt;=L16,"ADMISIBLE","NO ADMISIBLE"))</f>
        <v>ADMISIBLE</v>
      </c>
    </row>
    <row r="17" spans="2:13" ht="16.5" x14ac:dyDescent="0.3">
      <c r="B17" s="6" t="s">
        <v>28</v>
      </c>
      <c r="C17" s="7" t="str">
        <f>'CAPACIDAD FINANCIERA'!C19</f>
        <v>MOTA-ENGIL COLOMBIA S.A.S</v>
      </c>
      <c r="D17" s="44">
        <f>'CAPACIDAD FINANCIERA'!E19</f>
        <v>0.05</v>
      </c>
      <c r="E17" s="31">
        <f>'CAPACIDAD FINANCIERA'!F19-'CAPACIDAD FINANCIERA'!H19</f>
        <v>308366167</v>
      </c>
      <c r="F17" s="7">
        <v>0</v>
      </c>
      <c r="G17" s="7"/>
      <c r="H17" s="31">
        <f>IF(ISERROR((E17-F17)*D17),"",(E17-F17)*D17)</f>
        <v>15418308.350000001</v>
      </c>
      <c r="I17" s="7"/>
      <c r="J17" s="7"/>
      <c r="K17" s="7"/>
      <c r="L17" s="7"/>
      <c r="M17" s="10"/>
    </row>
    <row r="18" spans="2:13" ht="16.5" x14ac:dyDescent="0.3">
      <c r="B18" s="6" t="s">
        <v>29</v>
      </c>
      <c r="C18" s="7" t="str">
        <f>'CAPACIDAD FINANCIERA'!C20</f>
        <v>MOTA-ENGIL ENGENHARIA E CONSTRUCAO S.A SUCURSAL COLOMBIA</v>
      </c>
      <c r="D18" s="44">
        <f>'CAPACIDAD FINANCIERA'!E20</f>
        <v>0.5</v>
      </c>
      <c r="E18" s="31">
        <f>194187024466</f>
        <v>194187024466</v>
      </c>
      <c r="F18" s="50">
        <v>125954705957.25999</v>
      </c>
      <c r="G18" s="50"/>
      <c r="H18" s="31">
        <f t="shared" ref="H18:H22" si="1">IF(ISERROR((E18-F18)*D18),"",(E18-F18)*D18)</f>
        <v>34116159254.370003</v>
      </c>
      <c r="I18" s="7"/>
      <c r="J18" s="7"/>
      <c r="K18" s="7"/>
      <c r="L18" s="7"/>
      <c r="M18" s="10"/>
    </row>
    <row r="19" spans="2:13" ht="16.5" x14ac:dyDescent="0.3">
      <c r="B19" s="6" t="s">
        <v>30</v>
      </c>
      <c r="C19" s="7" t="str">
        <f>'CAPACIDAD FINANCIERA'!C21</f>
        <v>MOTA-ENGIL PERU S.A</v>
      </c>
      <c r="D19" s="44">
        <f>'CAPACIDAD FINANCIERA'!E21</f>
        <v>0.1</v>
      </c>
      <c r="E19" s="31">
        <f>'CAPACIDAD FINANCIERA'!F21-'CAPACIDAD FINANCIERA'!H21</f>
        <v>44363726662</v>
      </c>
      <c r="F19" s="50">
        <f>43470124192.98</f>
        <v>43470124192.980003</v>
      </c>
      <c r="G19" s="50"/>
      <c r="H19" s="31">
        <f t="shared" si="1"/>
        <v>89360246.901999667</v>
      </c>
      <c r="I19" s="7"/>
      <c r="J19" s="7"/>
      <c r="K19" s="7"/>
      <c r="L19" s="7"/>
      <c r="M19" s="10"/>
    </row>
    <row r="20" spans="2:13" ht="16.5" x14ac:dyDescent="0.3">
      <c r="B20" s="6" t="s">
        <v>31</v>
      </c>
      <c r="C20" s="7" t="str">
        <f>'CAPACIDAD FINANCIERA'!C22</f>
        <v>MANVIA-MANUTENCAO E EXPLORACAO DE INSTALACIONES E CONSTRUCAO S.A</v>
      </c>
      <c r="D20" s="44">
        <f>'CAPACIDAD FINANCIERA'!E22</f>
        <v>0.05</v>
      </c>
      <c r="E20" s="31">
        <f>'CAPACIDAD FINANCIERA'!F22-'CAPACIDAD FINANCIERA'!H22</f>
        <v>928718071</v>
      </c>
      <c r="F20" s="50">
        <v>904034811.88999999</v>
      </c>
      <c r="G20" s="50"/>
      <c r="H20" s="31">
        <f t="shared" si="1"/>
        <v>1234162.9555000009</v>
      </c>
      <c r="I20" s="7"/>
      <c r="J20" s="7"/>
      <c r="K20" s="7"/>
      <c r="L20" s="7"/>
      <c r="M20" s="10"/>
    </row>
    <row r="21" spans="2:13" ht="16.5" x14ac:dyDescent="0.3">
      <c r="B21" s="6">
        <v>2.5</v>
      </c>
      <c r="C21" s="7" t="str">
        <f>'CAPACIDAD FINANCIERA'!C23</f>
        <v>CONSTRUCCIONES E INVERSIONES BETA S.A.S</v>
      </c>
      <c r="D21" s="44">
        <f>'CAPACIDAD FINANCIERA'!E23</f>
        <v>0.15</v>
      </c>
      <c r="E21" s="31">
        <f>'CAPACIDAD FINANCIERA'!F23-'CAPACIDAD FINANCIERA'!H23</f>
        <v>38800606995.110001</v>
      </c>
      <c r="F21" s="7">
        <v>19154964903.57</v>
      </c>
      <c r="G21" s="7"/>
      <c r="H21" s="31">
        <f t="shared" si="1"/>
        <v>2946846313.7309999</v>
      </c>
      <c r="I21" s="7"/>
      <c r="J21" s="7"/>
      <c r="K21" s="7"/>
      <c r="L21" s="7"/>
      <c r="M21" s="10"/>
    </row>
    <row r="22" spans="2:13" ht="17.25" thickBot="1" x14ac:dyDescent="0.35">
      <c r="B22" s="6">
        <v>2.6</v>
      </c>
      <c r="C22" s="7" t="str">
        <f>'CAPACIDAD FINANCIERA'!C24</f>
        <v>IKON GROUP S.A.S</v>
      </c>
      <c r="D22" s="44">
        <f>'CAPACIDAD FINANCIERA'!E24</f>
        <v>0.15</v>
      </c>
      <c r="E22" s="31">
        <f>'CAPACIDAD FINANCIERA'!F24-'CAPACIDAD FINANCIERA'!H24</f>
        <v>2079279513</v>
      </c>
      <c r="F22" s="7">
        <v>2896982591</v>
      </c>
      <c r="G22" s="7"/>
      <c r="H22" s="31">
        <f t="shared" si="1"/>
        <v>-122655461.69999999</v>
      </c>
      <c r="I22" s="7"/>
      <c r="J22" s="7"/>
      <c r="K22" s="7"/>
      <c r="L22" s="7"/>
      <c r="M22" s="10"/>
    </row>
    <row r="23" spans="2:13" ht="16.5" x14ac:dyDescent="0.3">
      <c r="B23" s="11">
        <v>3</v>
      </c>
      <c r="C23" s="12" t="s">
        <v>97</v>
      </c>
      <c r="D23" s="13">
        <f>SUM(D24:D28)</f>
        <v>1</v>
      </c>
      <c r="E23" s="15">
        <f>SUM(E24:E28)</f>
        <v>128788614188</v>
      </c>
      <c r="F23" s="15">
        <f>SUM(F24:F28)</f>
        <v>56837275513.779999</v>
      </c>
      <c r="G23" s="15"/>
      <c r="H23" s="15">
        <f>SUM(H24:H28)</f>
        <v>21339229122.492599</v>
      </c>
      <c r="I23" s="14">
        <f>'CAPACIDAD FINANCIERA'!K25</f>
        <v>1</v>
      </c>
      <c r="J23" s="29">
        <f>'CAPACIDAD FINANCIERA'!M25</f>
        <v>99315662209</v>
      </c>
      <c r="K23" s="14">
        <f>'CAPACIDAD FINANCIERA'!L25</f>
        <v>24</v>
      </c>
      <c r="L23" s="29">
        <f>IF(ISERROR(+J23/K23),"",(J23/K23))</f>
        <v>4138152592.0416665</v>
      </c>
      <c r="M23" s="24" t="str">
        <f>+IF(I23=0,"",IF(H23&gt;=L23,"ADMISIBLE","NO ADMISIBLE"))</f>
        <v>ADMISIBLE</v>
      </c>
    </row>
    <row r="24" spans="2:13" ht="16.5" x14ac:dyDescent="0.3">
      <c r="B24" s="6" t="s">
        <v>32</v>
      </c>
      <c r="C24" s="7" t="s">
        <v>101</v>
      </c>
      <c r="D24" s="8">
        <v>0.33</v>
      </c>
      <c r="E24" s="31">
        <f>'CAPACIDAD FINANCIERA'!F26-'CAPACIDAD FINANCIERA'!H26</f>
        <v>61818735374</v>
      </c>
      <c r="F24" s="7">
        <v>42672538313.779999</v>
      </c>
      <c r="G24" s="7"/>
      <c r="H24" s="31">
        <f>IF(ISERROR((E24-F24)*D24),"",(E24-F24)*D24)</f>
        <v>6318245029.8726006</v>
      </c>
      <c r="I24" s="7"/>
      <c r="J24" s="7"/>
      <c r="K24" s="7"/>
      <c r="L24" s="7"/>
      <c r="M24" s="10"/>
    </row>
    <row r="25" spans="2:13" ht="16.5" x14ac:dyDescent="0.3">
      <c r="B25" s="6" t="s">
        <v>33</v>
      </c>
      <c r="C25" s="7" t="s">
        <v>98</v>
      </c>
      <c r="D25" s="8">
        <v>0.33</v>
      </c>
      <c r="E25" s="31">
        <f>'CAPACIDAD FINANCIERA'!F27-'CAPACIDAD FINANCIERA'!H27</f>
        <v>54614073740</v>
      </c>
      <c r="F25" s="7">
        <v>14164737200</v>
      </c>
      <c r="G25" s="7"/>
      <c r="H25" s="31">
        <f t="shared" ref="H25:H28" si="2">IF(ISERROR((E25-F25)*D25),"",(E25-F25)*D25)</f>
        <v>13348281058.200001</v>
      </c>
      <c r="I25" s="7"/>
      <c r="J25" s="7"/>
      <c r="K25" s="7"/>
      <c r="L25" s="7"/>
      <c r="M25" s="10"/>
    </row>
    <row r="26" spans="2:13" ht="16.5" x14ac:dyDescent="0.3">
      <c r="B26" s="6" t="s">
        <v>34</v>
      </c>
      <c r="C26" s="7" t="s">
        <v>99</v>
      </c>
      <c r="D26" s="8">
        <v>0.01</v>
      </c>
      <c r="E26" s="31">
        <f>'CAPACIDAD FINANCIERA'!F28-'CAPACIDAD FINANCIERA'!H28</f>
        <v>7514727000</v>
      </c>
      <c r="F26" s="7">
        <v>0</v>
      </c>
      <c r="G26" s="7"/>
      <c r="H26" s="31">
        <f t="shared" si="2"/>
        <v>75147270</v>
      </c>
      <c r="I26" s="7"/>
      <c r="J26" s="7"/>
      <c r="K26" s="7"/>
      <c r="L26" s="7"/>
      <c r="M26" s="10"/>
    </row>
    <row r="27" spans="2:13" ht="16.5" x14ac:dyDescent="0.3">
      <c r="B27" s="6" t="s">
        <v>35</v>
      </c>
      <c r="C27" s="7" t="s">
        <v>100</v>
      </c>
      <c r="D27" s="8">
        <v>0.33</v>
      </c>
      <c r="E27" s="31">
        <f>'CAPACIDAD FINANCIERA'!F29-'CAPACIDAD FINANCIERA'!H29</f>
        <v>4841078074</v>
      </c>
      <c r="F27" s="7">
        <v>0</v>
      </c>
      <c r="G27" s="7"/>
      <c r="H27" s="31">
        <f t="shared" si="2"/>
        <v>1597555764.4200001</v>
      </c>
      <c r="I27" s="7"/>
      <c r="J27" s="7"/>
      <c r="K27" s="7"/>
      <c r="L27" s="7"/>
      <c r="M27" s="10"/>
    </row>
    <row r="28" spans="2:13" ht="17.25" thickBot="1" x14ac:dyDescent="0.35">
      <c r="B28" s="6" t="s">
        <v>36</v>
      </c>
      <c r="C28" s="7"/>
      <c r="D28" s="45"/>
      <c r="E28" s="31">
        <f>'CAPACIDAD FINANCIERA'!F30-'CAPACIDAD FINANCIERA'!H30</f>
        <v>0</v>
      </c>
      <c r="F28" s="7"/>
      <c r="G28" s="7"/>
      <c r="H28" s="31">
        <f t="shared" si="2"/>
        <v>0</v>
      </c>
      <c r="I28" s="7"/>
      <c r="J28" s="7"/>
      <c r="K28" s="7"/>
      <c r="L28" s="7"/>
      <c r="M28" s="10"/>
    </row>
    <row r="29" spans="2:13" ht="16.5" x14ac:dyDescent="0.3">
      <c r="B29" s="11">
        <v>4</v>
      </c>
      <c r="C29" s="12" t="str">
        <f>'CAPACIDAD FINANCIERA'!C31</f>
        <v>CONSORCIO FERROVIARIO DE COLOMBIA</v>
      </c>
      <c r="D29" s="46">
        <f>SUM(D30:D32)</f>
        <v>1</v>
      </c>
      <c r="E29" s="15">
        <f>SUM(E30:E34)</f>
        <v>364509751430</v>
      </c>
      <c r="F29" s="15">
        <f>SUM(F30:F34)</f>
        <v>56839512840.489998</v>
      </c>
      <c r="G29" s="15"/>
      <c r="H29" s="15">
        <f>SUM(H30:H34)</f>
        <v>92593778076.852997</v>
      </c>
      <c r="I29" s="14">
        <f>'CAPACIDAD FINANCIERA'!K31</f>
        <v>1</v>
      </c>
      <c r="J29" s="29">
        <f>'CAPACIDAD FINANCIERA'!M31</f>
        <v>99315662209</v>
      </c>
      <c r="K29" s="14">
        <f>'CAPACIDAD FINANCIERA'!L31</f>
        <v>24</v>
      </c>
      <c r="L29" s="29">
        <f>IF(ISERROR(+J29/K29),"",(J29/K29))</f>
        <v>4138152592.0416665</v>
      </c>
      <c r="M29" s="24" t="str">
        <f>+IF(I29=0,"",IF(H29&gt;=L29,"ADMISIBLE","NO ADMISIBLE"))</f>
        <v>ADMISIBLE</v>
      </c>
    </row>
    <row r="30" spans="2:13" ht="16.5" x14ac:dyDescent="0.3">
      <c r="B30" s="6" t="s">
        <v>37</v>
      </c>
      <c r="C30" s="48" t="str">
        <f>'CAPACIDAD FINANCIERA'!C32</f>
        <v>ODINSA PROYECTO E INVERSIONES S.A.</v>
      </c>
      <c r="D30" s="44">
        <f>'CAPACIDAD FINANCIERA'!E32</f>
        <v>0.4</v>
      </c>
      <c r="E30" s="53">
        <v>2927065000</v>
      </c>
      <c r="F30" s="7">
        <v>0</v>
      </c>
      <c r="G30" s="7"/>
      <c r="H30" s="31">
        <f>IF(ISERROR((E30-F30)*D30),"",(E30-F30)*D30)</f>
        <v>1170826000</v>
      </c>
      <c r="I30" s="7"/>
      <c r="J30" s="7"/>
      <c r="K30" s="7"/>
      <c r="L30" s="7"/>
      <c r="M30" s="10"/>
    </row>
    <row r="31" spans="2:13" ht="16.5" x14ac:dyDescent="0.3">
      <c r="B31" s="6" t="s">
        <v>38</v>
      </c>
      <c r="C31" s="48" t="str">
        <f>'CAPACIDAD FINANCIERA'!C33</f>
        <v>CONSTRUCCIONES EL CONDOR S.A.</v>
      </c>
      <c r="D31" s="44">
        <f>'CAPACIDAD FINANCIERA'!E33</f>
        <v>0.3</v>
      </c>
      <c r="E31" s="31">
        <f>'CAPACIDAD FINANCIERA'!F33-'CAPACIDAD FINANCIERA'!H33</f>
        <v>330326820000</v>
      </c>
      <c r="F31" s="7">
        <v>54992444581.029999</v>
      </c>
      <c r="G31" s="7"/>
      <c r="H31" s="31">
        <f t="shared" ref="H31:H34" si="3">IF(ISERROR((E31-F31)*D31),"",(E31-F31)*D31)</f>
        <v>82600312625.690994</v>
      </c>
      <c r="I31" s="7"/>
      <c r="J31" s="7"/>
      <c r="K31" s="7"/>
      <c r="L31" s="7"/>
      <c r="M31" s="10"/>
    </row>
    <row r="32" spans="2:13" ht="16.5" x14ac:dyDescent="0.3">
      <c r="B32" s="6" t="s">
        <v>39</v>
      </c>
      <c r="C32" s="48" t="str">
        <f>'CAPACIDAD FINANCIERA'!C34</f>
        <v>CASTRO TCHERASSI</v>
      </c>
      <c r="D32" s="44">
        <f>'CAPACIDAD FINANCIERA'!E34</f>
        <v>0.3</v>
      </c>
      <c r="E32" s="31">
        <f>'CAPACIDAD FINANCIERA'!F34-'CAPACIDAD FINANCIERA'!H34</f>
        <v>31255866430</v>
      </c>
      <c r="F32" s="7">
        <v>1847068259.46</v>
      </c>
      <c r="G32" s="7"/>
      <c r="H32" s="31">
        <f t="shared" si="3"/>
        <v>8822639451.1620007</v>
      </c>
      <c r="I32" s="7"/>
      <c r="J32" s="7"/>
      <c r="K32" s="7"/>
      <c r="L32" s="7"/>
      <c r="M32" s="10"/>
    </row>
    <row r="33" spans="2:13" ht="16.5" x14ac:dyDescent="0.3">
      <c r="B33" s="6" t="s">
        <v>40</v>
      </c>
      <c r="C33" s="7"/>
      <c r="D33" s="45"/>
      <c r="E33" s="31">
        <f>'CAPACIDAD FINANCIERA'!F35-'CAPACIDAD FINANCIERA'!H35</f>
        <v>0</v>
      </c>
      <c r="F33" s="7"/>
      <c r="G33" s="7"/>
      <c r="H33" s="31">
        <f t="shared" si="3"/>
        <v>0</v>
      </c>
      <c r="I33" s="7"/>
      <c r="J33" s="7"/>
      <c r="K33" s="7"/>
      <c r="L33" s="7"/>
      <c r="M33" s="10"/>
    </row>
    <row r="34" spans="2:13" ht="17.25" thickBot="1" x14ac:dyDescent="0.35">
      <c r="B34" s="16" t="s">
        <v>41</v>
      </c>
      <c r="C34" s="17"/>
      <c r="D34" s="47"/>
      <c r="E34" s="34">
        <f>'CAPACIDAD FINANCIERA'!F36-'CAPACIDAD FINANCIERA'!H36</f>
        <v>0</v>
      </c>
      <c r="F34" s="17"/>
      <c r="G34" s="17"/>
      <c r="H34" s="34">
        <f t="shared" si="3"/>
        <v>0</v>
      </c>
      <c r="I34" s="17"/>
      <c r="J34" s="17"/>
      <c r="K34" s="17"/>
      <c r="L34" s="17"/>
      <c r="M34" s="19"/>
    </row>
    <row r="35" spans="2:13" ht="16.5" hidden="1" x14ac:dyDescent="0.3">
      <c r="B35" s="26">
        <v>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3"/>
    </row>
    <row r="36" spans="2:13" ht="16.5" hidden="1" x14ac:dyDescent="0.3">
      <c r="B36" s="6" t="s">
        <v>42</v>
      </c>
      <c r="C36" s="7"/>
      <c r="D36" s="9"/>
      <c r="E36" s="7"/>
      <c r="F36" s="7"/>
      <c r="G36" s="7"/>
      <c r="H36" s="7"/>
      <c r="I36" s="7"/>
      <c r="J36" s="7"/>
      <c r="K36" s="7"/>
      <c r="L36" s="7"/>
      <c r="M36" s="10"/>
    </row>
    <row r="37" spans="2:13" ht="16.5" hidden="1" x14ac:dyDescent="0.3">
      <c r="B37" s="6" t="s">
        <v>43</v>
      </c>
      <c r="C37" s="7"/>
      <c r="D37" s="9"/>
      <c r="E37" s="7"/>
      <c r="F37" s="7"/>
      <c r="G37" s="7"/>
      <c r="H37" s="7"/>
      <c r="I37" s="7"/>
      <c r="J37" s="7"/>
      <c r="K37" s="7"/>
      <c r="L37" s="7"/>
      <c r="M37" s="10"/>
    </row>
    <row r="38" spans="2:13" ht="16.5" hidden="1" x14ac:dyDescent="0.3">
      <c r="B38" s="6" t="s">
        <v>44</v>
      </c>
      <c r="C38" s="7"/>
      <c r="D38" s="9"/>
      <c r="E38" s="7"/>
      <c r="F38" s="7"/>
      <c r="G38" s="7"/>
      <c r="H38" s="7"/>
      <c r="I38" s="7"/>
      <c r="J38" s="7"/>
      <c r="K38" s="7"/>
      <c r="L38" s="7"/>
      <c r="M38" s="10"/>
    </row>
    <row r="39" spans="2:13" ht="16.5" hidden="1" x14ac:dyDescent="0.3">
      <c r="B39" s="6" t="s">
        <v>45</v>
      </c>
      <c r="C39" s="7"/>
      <c r="D39" s="9"/>
      <c r="E39" s="7"/>
      <c r="F39" s="7"/>
      <c r="G39" s="7"/>
      <c r="H39" s="7"/>
      <c r="I39" s="7"/>
      <c r="J39" s="7"/>
      <c r="K39" s="7"/>
      <c r="L39" s="7"/>
      <c r="M39" s="10"/>
    </row>
    <row r="40" spans="2:13" ht="16.5" hidden="1" x14ac:dyDescent="0.3">
      <c r="B40" s="6" t="s">
        <v>46</v>
      </c>
      <c r="C40" s="7"/>
      <c r="D40" s="9"/>
      <c r="E40" s="7"/>
      <c r="F40" s="7"/>
      <c r="G40" s="7"/>
      <c r="H40" s="7"/>
      <c r="I40" s="7"/>
      <c r="J40" s="7"/>
      <c r="K40" s="7"/>
      <c r="L40" s="7"/>
      <c r="M40" s="10"/>
    </row>
    <row r="41" spans="2:13" ht="16.5" hidden="1" x14ac:dyDescent="0.3">
      <c r="B41" s="11">
        <v>6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20"/>
    </row>
    <row r="42" spans="2:13" ht="16.5" hidden="1" x14ac:dyDescent="0.3">
      <c r="B42" s="6" t="s">
        <v>47</v>
      </c>
      <c r="C42" s="7"/>
      <c r="D42" s="9"/>
      <c r="E42" s="7"/>
      <c r="F42" s="7"/>
      <c r="G42" s="7"/>
      <c r="H42" s="7"/>
      <c r="I42" s="7"/>
      <c r="J42" s="7"/>
      <c r="K42" s="7"/>
      <c r="L42" s="7"/>
      <c r="M42" s="10"/>
    </row>
    <row r="43" spans="2:13" ht="16.5" hidden="1" x14ac:dyDescent="0.3">
      <c r="B43" s="6" t="s">
        <v>48</v>
      </c>
      <c r="C43" s="7"/>
      <c r="D43" s="9"/>
      <c r="E43" s="7"/>
      <c r="F43" s="7"/>
      <c r="G43" s="7"/>
      <c r="H43" s="7"/>
      <c r="I43" s="7"/>
      <c r="J43" s="7"/>
      <c r="K43" s="7"/>
      <c r="L43" s="7"/>
      <c r="M43" s="10"/>
    </row>
    <row r="44" spans="2:13" ht="16.5" hidden="1" x14ac:dyDescent="0.3">
      <c r="B44" s="6" t="s">
        <v>49</v>
      </c>
      <c r="C44" s="7"/>
      <c r="D44" s="9"/>
      <c r="E44" s="7"/>
      <c r="F44" s="7"/>
      <c r="G44" s="7"/>
      <c r="H44" s="7"/>
      <c r="I44" s="7"/>
      <c r="J44" s="7"/>
      <c r="K44" s="7"/>
      <c r="L44" s="7"/>
      <c r="M44" s="10"/>
    </row>
    <row r="45" spans="2:13" ht="16.5" hidden="1" x14ac:dyDescent="0.3">
      <c r="B45" s="6" t="s">
        <v>50</v>
      </c>
      <c r="C45" s="7"/>
      <c r="D45" s="9"/>
      <c r="E45" s="7"/>
      <c r="F45" s="7"/>
      <c r="G45" s="7"/>
      <c r="H45" s="7"/>
      <c r="I45" s="7"/>
      <c r="J45" s="7"/>
      <c r="K45" s="7"/>
      <c r="L45" s="7"/>
      <c r="M45" s="10"/>
    </row>
    <row r="46" spans="2:13" ht="16.5" hidden="1" x14ac:dyDescent="0.3">
      <c r="B46" s="6" t="s">
        <v>51</v>
      </c>
      <c r="C46" s="7"/>
      <c r="D46" s="9"/>
      <c r="E46" s="7"/>
      <c r="F46" s="7"/>
      <c r="G46" s="7"/>
      <c r="H46" s="7"/>
      <c r="I46" s="7"/>
      <c r="J46" s="7"/>
      <c r="K46" s="7"/>
      <c r="L46" s="7"/>
      <c r="M46" s="10"/>
    </row>
    <row r="47" spans="2:13" ht="16.5" hidden="1" x14ac:dyDescent="0.3">
      <c r="B47" s="11">
        <v>7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20"/>
    </row>
    <row r="48" spans="2:13" ht="16.5" hidden="1" x14ac:dyDescent="0.3">
      <c r="B48" s="6" t="s">
        <v>52</v>
      </c>
      <c r="C48" s="7"/>
      <c r="D48" s="9"/>
      <c r="E48" s="7"/>
      <c r="F48" s="7"/>
      <c r="G48" s="7"/>
      <c r="H48" s="7"/>
      <c r="I48" s="7"/>
      <c r="J48" s="7"/>
      <c r="K48" s="7"/>
      <c r="L48" s="7"/>
      <c r="M48" s="10"/>
    </row>
    <row r="49" spans="2:13" ht="16.5" hidden="1" x14ac:dyDescent="0.3">
      <c r="B49" s="6" t="s">
        <v>53</v>
      </c>
      <c r="C49" s="7"/>
      <c r="D49" s="9"/>
      <c r="E49" s="7"/>
      <c r="F49" s="7"/>
      <c r="G49" s="7"/>
      <c r="H49" s="7"/>
      <c r="I49" s="7"/>
      <c r="J49" s="7"/>
      <c r="K49" s="7"/>
      <c r="L49" s="7"/>
      <c r="M49" s="10"/>
    </row>
    <row r="50" spans="2:13" ht="16.5" hidden="1" x14ac:dyDescent="0.3">
      <c r="B50" s="6" t="s">
        <v>54</v>
      </c>
      <c r="C50" s="7"/>
      <c r="D50" s="9"/>
      <c r="E50" s="7"/>
      <c r="F50" s="7"/>
      <c r="G50" s="7"/>
      <c r="H50" s="7"/>
      <c r="I50" s="7"/>
      <c r="J50" s="7"/>
      <c r="K50" s="7"/>
      <c r="L50" s="7"/>
      <c r="M50" s="10"/>
    </row>
    <row r="51" spans="2:13" ht="16.5" hidden="1" x14ac:dyDescent="0.3">
      <c r="B51" s="6" t="s">
        <v>55</v>
      </c>
      <c r="C51" s="7"/>
      <c r="D51" s="9"/>
      <c r="E51" s="7"/>
      <c r="F51" s="7"/>
      <c r="G51" s="7"/>
      <c r="H51" s="7"/>
      <c r="I51" s="7"/>
      <c r="J51" s="7"/>
      <c r="K51" s="7"/>
      <c r="L51" s="7"/>
      <c r="M51" s="10"/>
    </row>
    <row r="52" spans="2:13" ht="16.5" hidden="1" x14ac:dyDescent="0.3">
      <c r="B52" s="6" t="s">
        <v>56</v>
      </c>
      <c r="C52" s="7"/>
      <c r="D52" s="9"/>
      <c r="E52" s="7"/>
      <c r="F52" s="7"/>
      <c r="G52" s="7"/>
      <c r="H52" s="7"/>
      <c r="I52" s="7"/>
      <c r="J52" s="7"/>
      <c r="K52" s="7"/>
      <c r="L52" s="7"/>
      <c r="M52" s="10"/>
    </row>
    <row r="53" spans="2:13" ht="16.5" hidden="1" x14ac:dyDescent="0.3">
      <c r="B53" s="11">
        <v>8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20"/>
    </row>
    <row r="54" spans="2:13" ht="16.5" hidden="1" x14ac:dyDescent="0.3">
      <c r="B54" s="6" t="s">
        <v>57</v>
      </c>
      <c r="C54" s="7"/>
      <c r="D54" s="9"/>
      <c r="E54" s="7"/>
      <c r="F54" s="7"/>
      <c r="G54" s="7"/>
      <c r="H54" s="7"/>
      <c r="I54" s="7"/>
      <c r="J54" s="7"/>
      <c r="K54" s="7"/>
      <c r="L54" s="7"/>
      <c r="M54" s="10"/>
    </row>
    <row r="55" spans="2:13" ht="16.5" hidden="1" x14ac:dyDescent="0.3">
      <c r="B55" s="6" t="s">
        <v>58</v>
      </c>
      <c r="C55" s="7"/>
      <c r="D55" s="9"/>
      <c r="E55" s="7"/>
      <c r="F55" s="7"/>
      <c r="G55" s="7"/>
      <c r="H55" s="7"/>
      <c r="I55" s="7"/>
      <c r="J55" s="7"/>
      <c r="K55" s="7"/>
      <c r="L55" s="7"/>
      <c r="M55" s="10"/>
    </row>
    <row r="56" spans="2:13" ht="16.5" hidden="1" x14ac:dyDescent="0.3">
      <c r="B56" s="6" t="s">
        <v>59</v>
      </c>
      <c r="C56" s="7"/>
      <c r="D56" s="9"/>
      <c r="E56" s="7"/>
      <c r="F56" s="7"/>
      <c r="G56" s="7"/>
      <c r="H56" s="7"/>
      <c r="I56" s="7"/>
      <c r="J56" s="7"/>
      <c r="K56" s="7"/>
      <c r="L56" s="7"/>
      <c r="M56" s="10"/>
    </row>
    <row r="57" spans="2:13" ht="16.5" hidden="1" x14ac:dyDescent="0.3">
      <c r="B57" s="6" t="s">
        <v>60</v>
      </c>
      <c r="C57" s="7"/>
      <c r="D57" s="9"/>
      <c r="E57" s="7"/>
      <c r="F57" s="7"/>
      <c r="G57" s="7"/>
      <c r="H57" s="7"/>
      <c r="I57" s="7"/>
      <c r="J57" s="7"/>
      <c r="K57" s="7"/>
      <c r="L57" s="7"/>
      <c r="M57" s="10"/>
    </row>
    <row r="58" spans="2:13" ht="16.5" hidden="1" x14ac:dyDescent="0.3">
      <c r="B58" s="6" t="s">
        <v>61</v>
      </c>
      <c r="C58" s="7"/>
      <c r="D58" s="9"/>
      <c r="E58" s="7"/>
      <c r="F58" s="7"/>
      <c r="G58" s="7"/>
      <c r="H58" s="7"/>
      <c r="I58" s="7"/>
      <c r="J58" s="7"/>
      <c r="K58" s="7"/>
      <c r="L58" s="7"/>
      <c r="M58" s="10"/>
    </row>
    <row r="59" spans="2:13" ht="16.5" hidden="1" x14ac:dyDescent="0.3">
      <c r="B59" s="11">
        <v>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20"/>
    </row>
    <row r="60" spans="2:13" ht="16.5" hidden="1" x14ac:dyDescent="0.3">
      <c r="B60" s="6" t="s">
        <v>62</v>
      </c>
      <c r="C60" s="7"/>
      <c r="D60" s="9"/>
      <c r="E60" s="7"/>
      <c r="F60" s="7"/>
      <c r="G60" s="7"/>
      <c r="H60" s="7"/>
      <c r="I60" s="7"/>
      <c r="J60" s="7"/>
      <c r="K60" s="7"/>
      <c r="L60" s="7"/>
      <c r="M60" s="10"/>
    </row>
    <row r="61" spans="2:13" ht="16.5" hidden="1" x14ac:dyDescent="0.3">
      <c r="B61" s="6" t="s">
        <v>63</v>
      </c>
      <c r="C61" s="7"/>
      <c r="D61" s="9"/>
      <c r="E61" s="7"/>
      <c r="F61" s="7"/>
      <c r="G61" s="7"/>
      <c r="H61" s="7"/>
      <c r="I61" s="7"/>
      <c r="J61" s="7"/>
      <c r="K61" s="7"/>
      <c r="L61" s="7"/>
      <c r="M61" s="10"/>
    </row>
    <row r="62" spans="2:13" ht="16.5" hidden="1" x14ac:dyDescent="0.3">
      <c r="B62" s="6" t="s">
        <v>64</v>
      </c>
      <c r="C62" s="7"/>
      <c r="D62" s="9"/>
      <c r="E62" s="7"/>
      <c r="F62" s="7"/>
      <c r="G62" s="7"/>
      <c r="H62" s="7"/>
      <c r="I62" s="7"/>
      <c r="J62" s="7"/>
      <c r="K62" s="7"/>
      <c r="L62" s="7"/>
      <c r="M62" s="10"/>
    </row>
    <row r="63" spans="2:13" ht="16.5" hidden="1" x14ac:dyDescent="0.3">
      <c r="B63" s="6" t="s">
        <v>65</v>
      </c>
      <c r="C63" s="7"/>
      <c r="D63" s="9"/>
      <c r="E63" s="7"/>
      <c r="F63" s="7"/>
      <c r="G63" s="7"/>
      <c r="H63" s="7"/>
      <c r="I63" s="7"/>
      <c r="J63" s="7"/>
      <c r="K63" s="7"/>
      <c r="L63" s="7"/>
      <c r="M63" s="10"/>
    </row>
    <row r="64" spans="2:13" ht="16.5" hidden="1" x14ac:dyDescent="0.3">
      <c r="B64" s="6" t="s">
        <v>66</v>
      </c>
      <c r="C64" s="7"/>
      <c r="D64" s="9"/>
      <c r="E64" s="7"/>
      <c r="F64" s="7"/>
      <c r="G64" s="7"/>
      <c r="H64" s="7"/>
      <c r="I64" s="7"/>
      <c r="J64" s="7"/>
      <c r="K64" s="7"/>
      <c r="L64" s="7"/>
      <c r="M64" s="10"/>
    </row>
    <row r="65" spans="2:13" ht="16.5" hidden="1" x14ac:dyDescent="0.3">
      <c r="B65" s="11">
        <v>10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20"/>
    </row>
    <row r="66" spans="2:13" ht="16.5" hidden="1" x14ac:dyDescent="0.3">
      <c r="B66" s="6" t="s">
        <v>67</v>
      </c>
      <c r="C66" s="7"/>
      <c r="D66" s="9"/>
      <c r="E66" s="7"/>
      <c r="F66" s="7"/>
      <c r="G66" s="7"/>
      <c r="H66" s="7"/>
      <c r="I66" s="7"/>
      <c r="J66" s="7"/>
      <c r="K66" s="7"/>
      <c r="L66" s="7"/>
      <c r="M66" s="10"/>
    </row>
    <row r="67" spans="2:13" ht="16.5" hidden="1" x14ac:dyDescent="0.3">
      <c r="B67" s="6" t="s">
        <v>68</v>
      </c>
      <c r="C67" s="7"/>
      <c r="D67" s="9"/>
      <c r="E67" s="7"/>
      <c r="F67" s="7"/>
      <c r="G67" s="7"/>
      <c r="H67" s="7"/>
      <c r="I67" s="7"/>
      <c r="J67" s="7"/>
      <c r="K67" s="7"/>
      <c r="L67" s="7"/>
      <c r="M67" s="10"/>
    </row>
    <row r="68" spans="2:13" ht="16.5" hidden="1" x14ac:dyDescent="0.3">
      <c r="B68" s="6" t="s">
        <v>69</v>
      </c>
      <c r="C68" s="7"/>
      <c r="D68" s="9"/>
      <c r="E68" s="7"/>
      <c r="F68" s="7"/>
      <c r="G68" s="7"/>
      <c r="H68" s="7"/>
      <c r="I68" s="7"/>
      <c r="J68" s="7"/>
      <c r="K68" s="7"/>
      <c r="L68" s="7"/>
      <c r="M68" s="10"/>
    </row>
    <row r="69" spans="2:13" ht="16.5" hidden="1" x14ac:dyDescent="0.3">
      <c r="B69" s="6" t="s">
        <v>70</v>
      </c>
      <c r="C69" s="7"/>
      <c r="D69" s="9"/>
      <c r="E69" s="7"/>
      <c r="F69" s="7"/>
      <c r="G69" s="7"/>
      <c r="H69" s="7"/>
      <c r="I69" s="7"/>
      <c r="J69" s="7"/>
      <c r="K69" s="7"/>
      <c r="L69" s="7"/>
      <c r="M69" s="10"/>
    </row>
    <row r="70" spans="2:13" ht="17.25" hidden="1" thickBot="1" x14ac:dyDescent="0.35">
      <c r="B70" s="16" t="s">
        <v>71</v>
      </c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9"/>
    </row>
    <row r="79" spans="2:13" customFormat="1" ht="14.4" x14ac:dyDescent="0.3">
      <c r="C79" s="54" t="s">
        <v>120</v>
      </c>
      <c r="I79" s="54" t="s">
        <v>121</v>
      </c>
    </row>
    <row r="80" spans="2:13" customFormat="1" ht="14.4" x14ac:dyDescent="0.3">
      <c r="C80" s="54" t="s">
        <v>122</v>
      </c>
      <c r="I80" s="54" t="s">
        <v>122</v>
      </c>
    </row>
  </sheetData>
  <mergeCells count="15">
    <mergeCell ref="B2:X2"/>
    <mergeCell ref="B3:X3"/>
    <mergeCell ref="B4:X4"/>
    <mergeCell ref="B6:X6"/>
    <mergeCell ref="B7:B9"/>
    <mergeCell ref="D7:D9"/>
    <mergeCell ref="C7:C9"/>
    <mergeCell ref="E7:E8"/>
    <mergeCell ref="M7:M9"/>
    <mergeCell ref="F7:F9"/>
    <mergeCell ref="H7:H8"/>
    <mergeCell ref="I7:I9"/>
    <mergeCell ref="J7:J9"/>
    <mergeCell ref="K7:K9"/>
    <mergeCell ref="L7:L9"/>
  </mergeCells>
  <pageMargins left="0.70866141732283472" right="0.17" top="0.74803149606299213" bottom="0.74803149606299213" header="0.31496062992125984" footer="0.31496062992125984"/>
  <pageSetup paperSize="9" scale="2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9"/>
  <sheetViews>
    <sheetView tabSelected="1" zoomScale="80" zoomScaleNormal="80" workbookViewId="0">
      <selection activeCell="C35" sqref="C35"/>
    </sheetView>
  </sheetViews>
  <sheetFormatPr baseColWidth="10" defaultRowHeight="14.4" x14ac:dyDescent="0.3"/>
  <cols>
    <col min="2" max="2" width="8.5546875" customWidth="1"/>
    <col min="3" max="3" width="76.6640625" bestFit="1" customWidth="1"/>
    <col min="10" max="10" width="20.109375" customWidth="1"/>
  </cols>
  <sheetData>
    <row r="2" spans="2:10" ht="15" x14ac:dyDescent="0.25">
      <c r="C2" s="208" t="s">
        <v>75</v>
      </c>
      <c r="D2" s="208"/>
      <c r="E2" s="208"/>
      <c r="F2" s="208"/>
      <c r="G2" s="208"/>
      <c r="H2" s="208"/>
      <c r="I2" s="208"/>
      <c r="J2" s="208"/>
    </row>
    <row r="3" spans="2:10" x14ac:dyDescent="0.3">
      <c r="C3" s="208" t="s">
        <v>76</v>
      </c>
      <c r="D3" s="208"/>
      <c r="E3" s="208"/>
      <c r="F3" s="208"/>
      <c r="G3" s="208"/>
      <c r="H3" s="208"/>
      <c r="I3" s="208"/>
      <c r="J3" s="208"/>
    </row>
    <row r="4" spans="2:10" x14ac:dyDescent="0.3">
      <c r="C4" s="208" t="s">
        <v>117</v>
      </c>
      <c r="D4" s="208"/>
      <c r="E4" s="208"/>
      <c r="F4" s="208"/>
      <c r="G4" s="208"/>
      <c r="H4" s="208"/>
      <c r="I4" s="208"/>
      <c r="J4" s="208"/>
    </row>
    <row r="6" spans="2:10" ht="15.75" thickBot="1" x14ac:dyDescent="0.3"/>
    <row r="7" spans="2:10" ht="66" customHeight="1" thickBot="1" x14ac:dyDescent="0.35">
      <c r="B7" s="222" t="s">
        <v>77</v>
      </c>
      <c r="C7" s="213" t="s">
        <v>1</v>
      </c>
      <c r="D7" s="225" t="s">
        <v>16</v>
      </c>
      <c r="E7" s="226"/>
      <c r="F7" s="225" t="s">
        <v>86</v>
      </c>
      <c r="G7" s="227"/>
      <c r="H7" s="225" t="s">
        <v>88</v>
      </c>
      <c r="I7" s="227"/>
      <c r="J7" s="22" t="s">
        <v>90</v>
      </c>
    </row>
    <row r="8" spans="2:10" ht="17.25" customHeight="1" x14ac:dyDescent="0.3">
      <c r="B8" s="223"/>
      <c r="C8" s="214"/>
      <c r="D8" s="228" t="s">
        <v>89</v>
      </c>
      <c r="E8" s="229"/>
      <c r="F8" s="234" t="s">
        <v>91</v>
      </c>
      <c r="G8" s="235"/>
      <c r="H8" s="228" t="s">
        <v>91</v>
      </c>
      <c r="I8" s="229"/>
      <c r="J8" s="210" t="s">
        <v>91</v>
      </c>
    </row>
    <row r="9" spans="2:10" ht="15" customHeight="1" x14ac:dyDescent="0.3">
      <c r="B9" s="223"/>
      <c r="C9" s="214"/>
      <c r="D9" s="230"/>
      <c r="E9" s="231"/>
      <c r="F9" s="236"/>
      <c r="G9" s="237"/>
      <c r="H9" s="230"/>
      <c r="I9" s="231"/>
      <c r="J9" s="211"/>
    </row>
    <row r="10" spans="2:10" ht="15.75" customHeight="1" thickBot="1" x14ac:dyDescent="0.35">
      <c r="B10" s="224"/>
      <c r="C10" s="215"/>
      <c r="D10" s="232"/>
      <c r="E10" s="233"/>
      <c r="F10" s="238"/>
      <c r="G10" s="239"/>
      <c r="H10" s="232"/>
      <c r="I10" s="233"/>
      <c r="J10" s="212"/>
    </row>
    <row r="11" spans="2:10" ht="24.75" customHeight="1" thickBot="1" x14ac:dyDescent="0.35">
      <c r="B11" s="2">
        <v>1</v>
      </c>
      <c r="C11" s="3" t="s">
        <v>126</v>
      </c>
      <c r="D11" s="218" t="s">
        <v>113</v>
      </c>
      <c r="E11" s="218"/>
      <c r="F11" s="218" t="s">
        <v>115</v>
      </c>
      <c r="G11" s="218"/>
      <c r="H11" s="218" t="s">
        <v>115</v>
      </c>
      <c r="I11" s="218"/>
      <c r="J11" s="52" t="str">
        <f>+H11</f>
        <v xml:space="preserve">HABIL </v>
      </c>
    </row>
    <row r="12" spans="2:10" ht="3" customHeight="1" thickBot="1" x14ac:dyDescent="0.35">
      <c r="B12" s="6" t="s">
        <v>18</v>
      </c>
      <c r="C12" s="7" t="s">
        <v>94</v>
      </c>
      <c r="D12" s="216" t="s">
        <v>113</v>
      </c>
      <c r="E12" s="216"/>
      <c r="F12" s="209" t="s">
        <v>115</v>
      </c>
      <c r="G12" s="209"/>
      <c r="H12" s="209" t="s">
        <v>115</v>
      </c>
      <c r="I12" s="209"/>
      <c r="J12" s="51" t="str">
        <f t="shared" ref="J12:J31" si="0">+H12</f>
        <v xml:space="preserve">HABIL </v>
      </c>
    </row>
    <row r="13" spans="2:10" ht="17.25" hidden="1" thickBot="1" x14ac:dyDescent="0.35">
      <c r="B13" s="6" t="s">
        <v>19</v>
      </c>
      <c r="C13" s="7" t="str">
        <f>'CAPACIDAD FINANCIERA'!C15</f>
        <v>CONSTRUCTURA COLPATRIA</v>
      </c>
      <c r="D13" s="216" t="s">
        <v>113</v>
      </c>
      <c r="E13" s="216"/>
      <c r="F13" s="209" t="s">
        <v>115</v>
      </c>
      <c r="G13" s="209"/>
      <c r="H13" s="209" t="s">
        <v>115</v>
      </c>
      <c r="I13" s="209"/>
      <c r="J13" s="51" t="str">
        <f t="shared" si="0"/>
        <v xml:space="preserve">HABIL </v>
      </c>
    </row>
    <row r="14" spans="2:10" ht="17.25" hidden="1" thickBot="1" x14ac:dyDescent="0.3">
      <c r="B14" s="6" t="s">
        <v>22</v>
      </c>
      <c r="C14" s="21"/>
      <c r="D14" s="220"/>
      <c r="E14" s="220"/>
      <c r="F14" s="217"/>
      <c r="G14" s="217"/>
      <c r="H14" s="217"/>
      <c r="I14" s="217"/>
      <c r="J14" s="37"/>
    </row>
    <row r="15" spans="2:10" ht="24.75" customHeight="1" thickBot="1" x14ac:dyDescent="0.35">
      <c r="B15" s="11">
        <v>2</v>
      </c>
      <c r="C15" s="12" t="str">
        <f>'CAPACIDAD FINANCIERA'!C19</f>
        <v>MOTA-ENGIL COLOMBIA S.A.S</v>
      </c>
      <c r="D15" s="221" t="str">
        <f>+D11</f>
        <v>ADMISIBLE</v>
      </c>
      <c r="E15" s="221"/>
      <c r="F15" s="218" t="s">
        <v>115</v>
      </c>
      <c r="G15" s="218"/>
      <c r="H15" s="218" t="s">
        <v>115</v>
      </c>
      <c r="I15" s="218"/>
      <c r="J15" s="52" t="str">
        <f t="shared" si="0"/>
        <v xml:space="preserve">HABIL </v>
      </c>
    </row>
    <row r="16" spans="2:10" ht="3.75" hidden="1" customHeight="1" thickBot="1" x14ac:dyDescent="0.35">
      <c r="B16" s="6" t="s">
        <v>28</v>
      </c>
      <c r="C16" s="7" t="str">
        <f>'CAPACIDAD FINANCIERA'!C20</f>
        <v>MOTA-ENGIL ENGENHARIA E CONSTRUCAO S.A SUCURSAL COLOMBIA</v>
      </c>
      <c r="D16" s="216" t="str">
        <f>+D12</f>
        <v>ADMISIBLE</v>
      </c>
      <c r="E16" s="216"/>
      <c r="F16" s="209" t="s">
        <v>115</v>
      </c>
      <c r="G16" s="209"/>
      <c r="H16" s="209" t="s">
        <v>115</v>
      </c>
      <c r="I16" s="209"/>
      <c r="J16" s="51" t="str">
        <f t="shared" si="0"/>
        <v xml:space="preserve">HABIL </v>
      </c>
    </row>
    <row r="17" spans="2:10" ht="17.25" hidden="1" thickBot="1" x14ac:dyDescent="0.35">
      <c r="B17" s="6" t="s">
        <v>29</v>
      </c>
      <c r="C17" s="7" t="str">
        <f>'CAPACIDAD FINANCIERA'!C21</f>
        <v>MOTA-ENGIL PERU S.A</v>
      </c>
      <c r="D17" s="216" t="str">
        <f t="shared" ref="D17:D20" si="1">+D13</f>
        <v>ADMISIBLE</v>
      </c>
      <c r="E17" s="216"/>
      <c r="F17" s="209" t="s">
        <v>115</v>
      </c>
      <c r="G17" s="209"/>
      <c r="H17" s="209" t="s">
        <v>115</v>
      </c>
      <c r="I17" s="209"/>
      <c r="J17" s="51" t="str">
        <f t="shared" si="0"/>
        <v xml:space="preserve">HABIL </v>
      </c>
    </row>
    <row r="18" spans="2:10" ht="17.25" hidden="1" thickBot="1" x14ac:dyDescent="0.35">
      <c r="B18" s="6" t="s">
        <v>30</v>
      </c>
      <c r="C18" s="7" t="str">
        <f>'CAPACIDAD FINANCIERA'!C22</f>
        <v>MANVIA-MANUTENCAO E EXPLORACAO DE INSTALACIONES E CONSTRUCAO S.A</v>
      </c>
      <c r="D18" s="216" t="str">
        <f>+D17</f>
        <v>ADMISIBLE</v>
      </c>
      <c r="E18" s="216"/>
      <c r="F18" s="209" t="s">
        <v>115</v>
      </c>
      <c r="G18" s="209"/>
      <c r="H18" s="209" t="s">
        <v>115</v>
      </c>
      <c r="I18" s="209"/>
      <c r="J18" s="51" t="str">
        <f t="shared" si="0"/>
        <v xml:space="preserve">HABIL </v>
      </c>
    </row>
    <row r="19" spans="2:10" ht="17.25" hidden="1" thickBot="1" x14ac:dyDescent="0.35">
      <c r="B19" s="6" t="s">
        <v>31</v>
      </c>
      <c r="C19" s="7" t="str">
        <f>'CAPACIDAD FINANCIERA'!C23</f>
        <v>CONSTRUCCIONES E INVERSIONES BETA S.A.S</v>
      </c>
      <c r="D19" s="216" t="str">
        <f t="shared" si="1"/>
        <v>ADMISIBLE</v>
      </c>
      <c r="E19" s="216"/>
      <c r="F19" s="209" t="s">
        <v>115</v>
      </c>
      <c r="G19" s="209"/>
      <c r="H19" s="209" t="s">
        <v>115</v>
      </c>
      <c r="I19" s="209"/>
      <c r="J19" s="51" t="str">
        <f t="shared" si="0"/>
        <v xml:space="preserve">HABIL </v>
      </c>
    </row>
    <row r="20" spans="2:10" ht="17.25" hidden="1" thickBot="1" x14ac:dyDescent="0.35">
      <c r="B20" s="6">
        <v>2.5</v>
      </c>
      <c r="C20" s="7" t="str">
        <f>'CAPACIDAD FINANCIERA'!C24</f>
        <v>IKON GROUP S.A.S</v>
      </c>
      <c r="D20" s="216" t="str">
        <f t="shared" si="1"/>
        <v>ADMISIBLE</v>
      </c>
      <c r="E20" s="216"/>
      <c r="F20" s="209" t="s">
        <v>115</v>
      </c>
      <c r="G20" s="209"/>
      <c r="H20" s="209" t="s">
        <v>115</v>
      </c>
      <c r="I20" s="209"/>
      <c r="J20" s="51" t="str">
        <f t="shared" si="0"/>
        <v xml:space="preserve">HABIL </v>
      </c>
    </row>
    <row r="21" spans="2:10" ht="17.25" hidden="1" thickBot="1" x14ac:dyDescent="0.35">
      <c r="B21" s="6"/>
      <c r="C21" s="7"/>
      <c r="D21" s="220"/>
      <c r="E21" s="220"/>
      <c r="F21" s="217"/>
      <c r="G21" s="217"/>
      <c r="H21" s="217"/>
      <c r="I21" s="217"/>
      <c r="J21" s="37"/>
    </row>
    <row r="22" spans="2:10" ht="27.75" customHeight="1" thickBot="1" x14ac:dyDescent="0.35">
      <c r="B22" s="11">
        <v>3</v>
      </c>
      <c r="C22" s="12" t="s">
        <v>97</v>
      </c>
      <c r="D22" s="221" t="str">
        <f>+D18</f>
        <v>ADMISIBLE</v>
      </c>
      <c r="E22" s="221"/>
      <c r="F22" s="218" t="s">
        <v>115</v>
      </c>
      <c r="G22" s="218"/>
      <c r="H22" s="218" t="s">
        <v>115</v>
      </c>
      <c r="I22" s="218"/>
      <c r="J22" s="52" t="str">
        <f t="shared" si="0"/>
        <v xml:space="preserve">HABIL </v>
      </c>
    </row>
    <row r="23" spans="2:10" ht="3" customHeight="1" thickBot="1" x14ac:dyDescent="0.35">
      <c r="B23" s="6" t="s">
        <v>32</v>
      </c>
      <c r="C23" s="7" t="s">
        <v>101</v>
      </c>
      <c r="D23" s="216" t="str">
        <f>+D17</f>
        <v>ADMISIBLE</v>
      </c>
      <c r="E23" s="216"/>
      <c r="F23" s="209" t="s">
        <v>115</v>
      </c>
      <c r="G23" s="209"/>
      <c r="H23" s="209" t="s">
        <v>115</v>
      </c>
      <c r="I23" s="209"/>
      <c r="J23" s="51" t="str">
        <f t="shared" si="0"/>
        <v xml:space="preserve">HABIL </v>
      </c>
    </row>
    <row r="24" spans="2:10" ht="17.25" hidden="1" thickBot="1" x14ac:dyDescent="0.35">
      <c r="B24" s="6" t="s">
        <v>33</v>
      </c>
      <c r="C24" s="7" t="s">
        <v>98</v>
      </c>
      <c r="D24" s="216" t="str">
        <f t="shared" ref="D24:D26" si="2">+D18</f>
        <v>ADMISIBLE</v>
      </c>
      <c r="E24" s="216"/>
      <c r="F24" s="209" t="s">
        <v>115</v>
      </c>
      <c r="G24" s="209"/>
      <c r="H24" s="209" t="s">
        <v>115</v>
      </c>
      <c r="I24" s="209"/>
      <c r="J24" s="51" t="str">
        <f t="shared" si="0"/>
        <v xml:space="preserve">HABIL </v>
      </c>
    </row>
    <row r="25" spans="2:10" ht="17.25" hidden="1" thickBot="1" x14ac:dyDescent="0.35">
      <c r="B25" s="6" t="s">
        <v>34</v>
      </c>
      <c r="C25" s="7" t="s">
        <v>99</v>
      </c>
      <c r="D25" s="216" t="str">
        <f t="shared" si="2"/>
        <v>ADMISIBLE</v>
      </c>
      <c r="E25" s="216"/>
      <c r="F25" s="209" t="s">
        <v>115</v>
      </c>
      <c r="G25" s="209"/>
      <c r="H25" s="209" t="s">
        <v>115</v>
      </c>
      <c r="I25" s="209"/>
      <c r="J25" s="51" t="str">
        <f t="shared" si="0"/>
        <v xml:space="preserve">HABIL </v>
      </c>
    </row>
    <row r="26" spans="2:10" ht="17.25" hidden="1" thickBot="1" x14ac:dyDescent="0.35">
      <c r="B26" s="6" t="s">
        <v>35</v>
      </c>
      <c r="C26" s="7" t="s">
        <v>100</v>
      </c>
      <c r="D26" s="216" t="str">
        <f t="shared" si="2"/>
        <v>ADMISIBLE</v>
      </c>
      <c r="E26" s="216"/>
      <c r="F26" s="209" t="s">
        <v>115</v>
      </c>
      <c r="G26" s="209"/>
      <c r="H26" s="209" t="s">
        <v>115</v>
      </c>
      <c r="I26" s="209"/>
      <c r="J26" s="51" t="str">
        <f t="shared" si="0"/>
        <v xml:space="preserve">HABIL </v>
      </c>
    </row>
    <row r="27" spans="2:10" ht="17.25" hidden="1" thickBot="1" x14ac:dyDescent="0.35">
      <c r="B27" s="6" t="s">
        <v>36</v>
      </c>
      <c r="C27" s="7"/>
      <c r="D27" s="220"/>
      <c r="E27" s="220"/>
      <c r="F27" s="217"/>
      <c r="G27" s="217"/>
      <c r="H27" s="217"/>
      <c r="I27" s="217"/>
      <c r="J27" s="37"/>
    </row>
    <row r="28" spans="2:10" ht="24" customHeight="1" x14ac:dyDescent="0.3">
      <c r="B28" s="11">
        <v>4</v>
      </c>
      <c r="C28" s="12" t="str">
        <f>+'CAPACIDAD FINANCIERA'!C31</f>
        <v>CONSORCIO FERROVIARIO DE COLOMBIA</v>
      </c>
      <c r="D28" s="221" t="str">
        <f>+D22</f>
        <v>ADMISIBLE</v>
      </c>
      <c r="E28" s="221"/>
      <c r="F28" s="218" t="s">
        <v>115</v>
      </c>
      <c r="G28" s="218"/>
      <c r="H28" s="218" t="s">
        <v>115</v>
      </c>
      <c r="I28" s="218"/>
      <c r="J28" s="52" t="str">
        <f t="shared" si="0"/>
        <v xml:space="preserve">HABIL </v>
      </c>
    </row>
    <row r="29" spans="2:10" ht="16.5" hidden="1" x14ac:dyDescent="0.3">
      <c r="B29" s="6" t="s">
        <v>37</v>
      </c>
      <c r="C29" s="7" t="s">
        <v>103</v>
      </c>
      <c r="D29" s="216" t="str">
        <f>+D25</f>
        <v>ADMISIBLE</v>
      </c>
      <c r="E29" s="216"/>
      <c r="F29" s="209" t="s">
        <v>115</v>
      </c>
      <c r="G29" s="209"/>
      <c r="H29" s="209" t="s">
        <v>115</v>
      </c>
      <c r="I29" s="209"/>
      <c r="J29" s="51" t="str">
        <f t="shared" si="0"/>
        <v xml:space="preserve">HABIL </v>
      </c>
    </row>
    <row r="30" spans="2:10" ht="16.5" hidden="1" x14ac:dyDescent="0.3">
      <c r="B30" s="6" t="s">
        <v>38</v>
      </c>
      <c r="C30" s="7" t="s">
        <v>104</v>
      </c>
      <c r="D30" s="216" t="str">
        <f t="shared" ref="D30" si="3">+D26</f>
        <v>ADMISIBLE</v>
      </c>
      <c r="E30" s="216"/>
      <c r="F30" s="209" t="s">
        <v>115</v>
      </c>
      <c r="G30" s="209"/>
      <c r="H30" s="209" t="s">
        <v>115</v>
      </c>
      <c r="I30" s="209"/>
      <c r="J30" s="51" t="str">
        <f t="shared" si="0"/>
        <v xml:space="preserve">HABIL </v>
      </c>
    </row>
    <row r="31" spans="2:10" ht="16.5" hidden="1" x14ac:dyDescent="0.3">
      <c r="B31" s="6" t="s">
        <v>39</v>
      </c>
      <c r="C31" s="7" t="s">
        <v>105</v>
      </c>
      <c r="D31" s="216" t="str">
        <f>+D30</f>
        <v>ADMISIBLE</v>
      </c>
      <c r="E31" s="216"/>
      <c r="F31" s="209" t="s">
        <v>115</v>
      </c>
      <c r="G31" s="209"/>
      <c r="H31" s="209" t="s">
        <v>115</v>
      </c>
      <c r="I31" s="209"/>
      <c r="J31" s="51" t="str">
        <f t="shared" si="0"/>
        <v xml:space="preserve">HABIL </v>
      </c>
    </row>
    <row r="32" spans="2:10" ht="16.5" hidden="1" x14ac:dyDescent="0.3">
      <c r="B32" s="6" t="s">
        <v>40</v>
      </c>
      <c r="C32" s="7"/>
      <c r="D32" s="220"/>
      <c r="E32" s="220"/>
      <c r="F32" s="216"/>
      <c r="G32" s="216"/>
      <c r="H32" s="216"/>
      <c r="I32" s="216"/>
      <c r="J32" s="35"/>
    </row>
    <row r="33" spans="2:10" ht="17.25" hidden="1" thickBot="1" x14ac:dyDescent="0.35">
      <c r="B33" s="16" t="s">
        <v>41</v>
      </c>
      <c r="C33" s="17"/>
      <c r="D33" s="219"/>
      <c r="E33" s="219"/>
      <c r="F33" s="219"/>
      <c r="G33" s="219"/>
      <c r="H33" s="219"/>
      <c r="I33" s="219"/>
      <c r="J33" s="36"/>
    </row>
    <row r="38" spans="2:10" x14ac:dyDescent="0.3">
      <c r="C38" t="s">
        <v>120</v>
      </c>
      <c r="G38" t="s">
        <v>121</v>
      </c>
    </row>
    <row r="39" spans="2:10" x14ac:dyDescent="0.3">
      <c r="C39" t="s">
        <v>122</v>
      </c>
      <c r="G39" t="s">
        <v>122</v>
      </c>
    </row>
  </sheetData>
  <mergeCells count="81">
    <mergeCell ref="F17:G17"/>
    <mergeCell ref="H16:I16"/>
    <mergeCell ref="H17:I17"/>
    <mergeCell ref="H23:I23"/>
    <mergeCell ref="D29:E29"/>
    <mergeCell ref="F29:G29"/>
    <mergeCell ref="H29:I29"/>
    <mergeCell ref="D28:E28"/>
    <mergeCell ref="F28:G28"/>
    <mergeCell ref="H28:I28"/>
    <mergeCell ref="D25:E25"/>
    <mergeCell ref="H24:I24"/>
    <mergeCell ref="H25:I25"/>
    <mergeCell ref="H26:I26"/>
    <mergeCell ref="H27:I27"/>
    <mergeCell ref="F24:G24"/>
    <mergeCell ref="D16:E16"/>
    <mergeCell ref="F16:G16"/>
    <mergeCell ref="D14:E14"/>
    <mergeCell ref="H14:I14"/>
    <mergeCell ref="H15:I15"/>
    <mergeCell ref="B7:B10"/>
    <mergeCell ref="F11:G11"/>
    <mergeCell ref="H11:I11"/>
    <mergeCell ref="D15:E15"/>
    <mergeCell ref="F15:G15"/>
    <mergeCell ref="D7:E7"/>
    <mergeCell ref="F7:G7"/>
    <mergeCell ref="H7:I7"/>
    <mergeCell ref="D8:E10"/>
    <mergeCell ref="F8:G10"/>
    <mergeCell ref="H8:I10"/>
    <mergeCell ref="D12:E12"/>
    <mergeCell ref="F12:G12"/>
    <mergeCell ref="D11:E11"/>
    <mergeCell ref="F13:G13"/>
    <mergeCell ref="F14:G14"/>
    <mergeCell ref="D33:E33"/>
    <mergeCell ref="D17:E17"/>
    <mergeCell ref="D18:E18"/>
    <mergeCell ref="D19:E19"/>
    <mergeCell ref="D20:E20"/>
    <mergeCell ref="D21:E21"/>
    <mergeCell ref="D24:E24"/>
    <mergeCell ref="D23:E23"/>
    <mergeCell ref="D26:E26"/>
    <mergeCell ref="D27:E27"/>
    <mergeCell ref="D30:E30"/>
    <mergeCell ref="D31:E31"/>
    <mergeCell ref="D32:E32"/>
    <mergeCell ref="D22:E22"/>
    <mergeCell ref="F32:G32"/>
    <mergeCell ref="F33:G33"/>
    <mergeCell ref="H30:I30"/>
    <mergeCell ref="H31:I31"/>
    <mergeCell ref="H32:I32"/>
    <mergeCell ref="H33:I33"/>
    <mergeCell ref="F23:G23"/>
    <mergeCell ref="F30:G30"/>
    <mergeCell ref="F31:G31"/>
    <mergeCell ref="H18:I18"/>
    <mergeCell ref="H19:I19"/>
    <mergeCell ref="H20:I20"/>
    <mergeCell ref="F18:G18"/>
    <mergeCell ref="F19:G19"/>
    <mergeCell ref="H21:I21"/>
    <mergeCell ref="F22:G22"/>
    <mergeCell ref="H22:I22"/>
    <mergeCell ref="F20:G20"/>
    <mergeCell ref="F21:G21"/>
    <mergeCell ref="F25:G25"/>
    <mergeCell ref="F26:G26"/>
    <mergeCell ref="F27:G27"/>
    <mergeCell ref="C2:J2"/>
    <mergeCell ref="C3:J3"/>
    <mergeCell ref="C4:J4"/>
    <mergeCell ref="H12:I12"/>
    <mergeCell ref="H13:I13"/>
    <mergeCell ref="J8:J10"/>
    <mergeCell ref="C7:C10"/>
    <mergeCell ref="D13:E13"/>
  </mergeCell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CAPACIDAD FINANCIERA</vt:lpstr>
      <vt:lpstr>CAPACIDAD RESIDUAL DEF</vt:lpstr>
      <vt:lpstr>CAPACIDAD RESIDUAL</vt:lpstr>
      <vt:lpstr>RESUMEN EVALUACIÓN</vt:lpstr>
      <vt:lpstr>'CAPACIDAD FINANCIERA'!Títulos_a_imprimir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ocervantes</dc:creator>
  <cp:lastModifiedBy>Malu</cp:lastModifiedBy>
  <cp:lastPrinted>2013-08-30T15:01:11Z</cp:lastPrinted>
  <dcterms:created xsi:type="dcterms:W3CDTF">2013-07-18T20:10:50Z</dcterms:created>
  <dcterms:modified xsi:type="dcterms:W3CDTF">2013-09-24T22:46:27Z</dcterms:modified>
</cp:coreProperties>
</file>