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5480" windowHeight="8445"/>
  </bookViews>
  <sheets>
    <sheet name="CAPACIDAD FINANCIERA" sheetId="3" r:id="rId1"/>
    <sheet name="RESUMEN EVALUACION" sheetId="4" r:id="rId2"/>
  </sheets>
  <calcPr calcId="125725"/>
</workbook>
</file>

<file path=xl/calcChain.xml><?xml version="1.0" encoding="utf-8"?>
<calcChain xmlns="http://schemas.openxmlformats.org/spreadsheetml/2006/main">
  <c r="K11" i="3"/>
  <c r="J11"/>
  <c r="I11"/>
  <c r="H11"/>
  <c r="K10"/>
  <c r="J10"/>
  <c r="I10"/>
  <c r="H10"/>
  <c r="K9"/>
  <c r="J9"/>
  <c r="I9"/>
  <c r="H9"/>
  <c r="K8"/>
  <c r="J8"/>
  <c r="I8"/>
  <c r="H8"/>
  <c r="J7"/>
  <c r="I7"/>
  <c r="K7"/>
  <c r="K6"/>
  <c r="J6"/>
  <c r="I6"/>
  <c r="H7"/>
  <c r="H6"/>
  <c r="K5"/>
  <c r="I5"/>
  <c r="J5"/>
  <c r="H5"/>
</calcChain>
</file>

<file path=xl/sharedStrings.xml><?xml version="1.0" encoding="utf-8"?>
<sst xmlns="http://schemas.openxmlformats.org/spreadsheetml/2006/main" count="72" uniqueCount="43">
  <si>
    <t>Participación</t>
  </si>
  <si>
    <t>Folio 
RUP o EEFF</t>
  </si>
  <si>
    <t>INDICE DE LIQUIDEZ</t>
  </si>
  <si>
    <t>INDICE DE ENDEUDAMIENTO</t>
  </si>
  <si>
    <t>CAPACIDAD FINANCIERA</t>
  </si>
  <si>
    <t>Variación EBITDA</t>
  </si>
  <si>
    <t>CUMPLE</t>
  </si>
  <si>
    <t>Si</t>
  </si>
  <si>
    <t>No</t>
  </si>
  <si>
    <t>N°.</t>
  </si>
  <si>
    <t>Proponente</t>
  </si>
  <si>
    <t>Integrantes</t>
  </si>
  <si>
    <t>LÍDER</t>
  </si>
  <si>
    <t>CAPITAL REAL (Formato 10)</t>
  </si>
  <si>
    <t>Crecimiento EBITDA (Formato 10)</t>
  </si>
  <si>
    <t>Capital Real</t>
  </si>
  <si>
    <t>KW</t>
  </si>
  <si>
    <t>N°</t>
  </si>
  <si>
    <t>Porcentaje
 de 
Partitipación</t>
  </si>
  <si>
    <t>Observaciones</t>
  </si>
  <si>
    <t>NO CUMPLE</t>
  </si>
  <si>
    <t xml:space="preserve">Comité Evaluador </t>
  </si>
  <si>
    <t xml:space="preserve">ADRIANA MILENA ACOSTA </t>
  </si>
  <si>
    <t>JUAN CARLOS HERNANDEZ CERON</t>
  </si>
  <si>
    <t>CONSULTORES DE INGENIERIA UG21</t>
  </si>
  <si>
    <t>CAPITAL TRABAJO</t>
  </si>
  <si>
    <t>CONSORCIO INP-INGECO</t>
  </si>
  <si>
    <t>INGENIERIA DE PROYECTOS SAS</t>
  </si>
  <si>
    <t>INGECO INGENIERIA DE CONSTRUCCIONES SAS</t>
  </si>
  <si>
    <t>42-43</t>
  </si>
  <si>
    <t>CONSORCIO PROES-BRAIN</t>
  </si>
  <si>
    <t>PROYECTOS Y ESTRUCTURAS SAS</t>
  </si>
  <si>
    <t>BETTIN RECUROS AMBIENTALES E INGENIERIA SAS</t>
  </si>
  <si>
    <t>Proponentes Concurso de Méritos Abierto VJ-VGC-CM-016-2013</t>
  </si>
  <si>
    <t>114-115</t>
  </si>
  <si>
    <t>124-125</t>
  </si>
  <si>
    <t>BETTIN RECUROS AMBIENTALES E INGENIERIA SAS - BRAIN INGENIERIA- SAS</t>
  </si>
  <si>
    <t>CONSORCIO PEYCO-INTERSA 2013</t>
  </si>
  <si>
    <t>INTERSA SA</t>
  </si>
  <si>
    <t>PEYCO PROYECTOS ESTUDIOS Y CONSTRUCCIONES S.A.</t>
  </si>
  <si>
    <r>
      <rPr>
        <b/>
        <sz val="12"/>
        <rFont val="Arial Narrow"/>
        <family val="2"/>
      </rPr>
      <t>Nota:</t>
    </r>
    <r>
      <rPr>
        <sz val="12"/>
        <rFont val="Arial Narrow"/>
        <family val="2"/>
      </rPr>
      <t xml:space="preserve"> Para efectos de verificaciòn financiera, se tomò la informaciòn suministrada en el RUP, respecto de los datos que en El se consignan. </t>
    </r>
  </si>
  <si>
    <t>El integrante PROYECTOS Y ESTRUCTURAS S.A.S. no presenta información de EBITDA y BRAIN S.A.S. no cumple con Crecimiento EBITDA, por cuanto el EBITDA del año 2012 fue $153.223.397 menor al año 2011 cuyo valor fue $249.111.423</t>
  </si>
  <si>
    <t>Ninguno de los dos integrantes cumple cn el Crecimiento de EBITDA:
- PEYCO el EBITDA de 2012 fue $418.624.212, menor al EBITDA 2011, que fue $515.929.490
- INTERSA el EBITDA de 2012 fue $170.358.000, menor al EBITDA de 2011 que fue $186.943.000</t>
  </si>
</sst>
</file>

<file path=xl/styles.xml><?xml version="1.0" encoding="utf-8"?>
<styleSheet xmlns="http://schemas.openxmlformats.org/spreadsheetml/2006/main">
  <numFmts count="6">
    <numFmt numFmtId="5" formatCode="&quot;$&quot;\ #,##0_);\(&quot;$&quot;\ #,##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\ _€_-;\-* #,##0\ _€_-;_-* &quot;-&quot;??\ _€_-;_-@_-"/>
    <numFmt numFmtId="165" formatCode="_(&quot;$&quot;\ * #,##0_);_(&quot;$&quot;\ * \(#,##0\);_(&quot;$&quot;\ * &quot;-&quot;??_);_(@_)"/>
    <numFmt numFmtId="166" formatCode="0.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color rgb="FF0000FF"/>
      <name val="Arial Narrow"/>
      <family val="2"/>
    </font>
    <font>
      <b/>
      <sz val="16"/>
      <color rgb="FFFF000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2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7" xfId="3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center" wrapText="1"/>
    </xf>
    <xf numFmtId="164" fontId="4" fillId="2" borderId="1" xfId="94" applyNumberFormat="1" applyFont="1" applyFill="1" applyBorder="1" applyAlignment="1">
      <alignment horizontal="left" vertical="center" wrapText="1"/>
    </xf>
    <xf numFmtId="166" fontId="6" fillId="2" borderId="1" xfId="110" applyNumberFormat="1" applyFont="1" applyFill="1" applyBorder="1" applyAlignment="1">
      <alignment horizontal="center" vertical="center"/>
    </xf>
    <xf numFmtId="0" fontId="6" fillId="2" borderId="1" xfId="111" applyNumberFormat="1" applyFont="1" applyFill="1" applyBorder="1" applyAlignment="1">
      <alignment horizontal="center" vertical="center" wrapText="1"/>
    </xf>
    <xf numFmtId="0" fontId="6" fillId="2" borderId="1" xfId="111" applyNumberFormat="1" applyFont="1" applyFill="1" applyBorder="1" applyAlignment="1">
      <alignment horizontal="center" vertical="center"/>
    </xf>
    <xf numFmtId="0" fontId="6" fillId="2" borderId="1" xfId="113" applyNumberFormat="1" applyFont="1" applyFill="1" applyBorder="1" applyAlignment="1">
      <alignment horizontal="center" vertical="center" wrapText="1"/>
    </xf>
    <xf numFmtId="9" fontId="4" fillId="2" borderId="1" xfId="127" applyNumberFormat="1" applyFont="1" applyFill="1" applyBorder="1" applyAlignment="1">
      <alignment horizontal="center" vertical="center"/>
    </xf>
    <xf numFmtId="5" fontId="5" fillId="3" borderId="1" xfId="143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5" fontId="5" fillId="3" borderId="1" xfId="177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5" fontId="5" fillId="3" borderId="18" xfId="16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4" fillId="2" borderId="1" xfId="210" applyNumberFormat="1" applyFont="1" applyFill="1" applyBorder="1" applyAlignment="1">
      <alignment horizontal="center" vertical="center" wrapText="1"/>
    </xf>
    <xf numFmtId="165" fontId="4" fillId="2" borderId="1" xfId="144" applyNumberFormat="1" applyFont="1" applyFill="1" applyBorder="1" applyAlignment="1">
      <alignment horizontal="center" vertical="center" wrapText="1"/>
    </xf>
    <xf numFmtId="1" fontId="4" fillId="2" borderId="1" xfId="94" applyNumberFormat="1" applyFont="1" applyFill="1" applyBorder="1" applyAlignment="1">
      <alignment horizontal="center" vertical="center" wrapText="1"/>
    </xf>
    <xf numFmtId="164" fontId="4" fillId="0" borderId="1" xfId="94" applyNumberFormat="1" applyFont="1" applyFill="1" applyBorder="1" applyAlignment="1">
      <alignment horizontal="left" vertical="center" wrapText="1"/>
    </xf>
    <xf numFmtId="1" fontId="4" fillId="2" borderId="1" xfId="94" applyNumberFormat="1" applyFont="1" applyFill="1" applyBorder="1" applyAlignment="1">
      <alignment horizontal="left" vertical="center" wrapText="1"/>
    </xf>
    <xf numFmtId="165" fontId="4" fillId="2" borderId="1" xfId="178" applyNumberFormat="1" applyFont="1" applyFill="1" applyBorder="1" applyAlignment="1">
      <alignment horizontal="center" vertical="center" wrapText="1"/>
    </xf>
    <xf numFmtId="1" fontId="5" fillId="2" borderId="5" xfId="77" applyNumberFormat="1" applyFont="1" applyFill="1" applyBorder="1" applyAlignment="1">
      <alignment horizontal="center" vertical="center" wrapText="1"/>
    </xf>
    <xf numFmtId="44" fontId="0" fillId="0" borderId="0" xfId="226" applyFont="1"/>
    <xf numFmtId="9" fontId="0" fillId="0" borderId="0" xfId="0" applyNumberFormat="1"/>
    <xf numFmtId="44" fontId="0" fillId="0" borderId="0" xfId="0" applyNumberFormat="1"/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2" borderId="9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2" borderId="1" xfId="21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2" borderId="1" xfId="210" applyNumberFormat="1" applyFont="1" applyFill="1" applyBorder="1" applyAlignment="1">
      <alignment vertical="center" wrapText="1"/>
    </xf>
    <xf numFmtId="164" fontId="5" fillId="3" borderId="1" xfId="94" applyNumberFormat="1" applyFont="1" applyFill="1" applyBorder="1" applyAlignment="1">
      <alignment horizontal="center" vertical="center" wrapText="1"/>
    </xf>
    <xf numFmtId="166" fontId="5" fillId="3" borderId="1" xfId="110" applyNumberFormat="1" applyFont="1" applyFill="1" applyBorder="1" applyAlignment="1">
      <alignment horizontal="center" vertical="center"/>
    </xf>
    <xf numFmtId="0" fontId="5" fillId="3" borderId="1" xfId="111" applyNumberFormat="1" applyFont="1" applyFill="1" applyBorder="1" applyAlignment="1">
      <alignment horizontal="center" vertical="center" wrapText="1"/>
    </xf>
    <xf numFmtId="164" fontId="5" fillId="3" borderId="1" xfId="127" applyNumberFormat="1" applyFont="1" applyFill="1" applyBorder="1" applyAlignment="1">
      <alignment horizontal="center" vertical="center"/>
    </xf>
    <xf numFmtId="0" fontId="4" fillId="0" borderId="0" xfId="94" applyNumberFormat="1" applyFont="1" applyFill="1" applyAlignment="1">
      <alignment horizontal="left" vertical="center" wrapText="1"/>
    </xf>
    <xf numFmtId="1" fontId="4" fillId="2" borderId="1" xfId="94" applyNumberFormat="1" applyFont="1" applyFill="1" applyBorder="1" applyAlignment="1">
      <alignment horizontal="center" vertical="center"/>
    </xf>
    <xf numFmtId="1" fontId="4" fillId="2" borderId="1" xfId="94" applyNumberFormat="1" applyFont="1" applyFill="1" applyBorder="1" applyAlignment="1">
      <alignment horizontal="left" vertical="center" wrapText="1"/>
    </xf>
    <xf numFmtId="5" fontId="5" fillId="3" borderId="1" xfId="143" applyNumberFormat="1" applyFont="1" applyFill="1" applyBorder="1" applyAlignment="1">
      <alignment horizontal="center" vertical="center" wrapText="1"/>
    </xf>
    <xf numFmtId="5" fontId="5" fillId="3" borderId="1" xfId="160" applyNumberFormat="1" applyFont="1" applyFill="1" applyBorder="1" applyAlignment="1">
      <alignment horizontal="center" vertical="center" wrapText="1"/>
    </xf>
    <xf numFmtId="164" fontId="5" fillId="3" borderId="1" xfId="143" applyNumberFormat="1" applyFont="1" applyFill="1" applyBorder="1" applyAlignment="1">
      <alignment horizontal="center" vertical="center" wrapText="1"/>
    </xf>
    <xf numFmtId="164" fontId="5" fillId="3" borderId="1" xfId="177" applyNumberFormat="1" applyFont="1" applyFill="1" applyBorder="1" applyAlignment="1">
      <alignment horizontal="center" vertical="center" wrapText="1"/>
    </xf>
    <xf numFmtId="164" fontId="5" fillId="3" borderId="1" xfId="94" applyNumberFormat="1" applyFont="1" applyFill="1" applyBorder="1" applyAlignment="1">
      <alignment horizontal="center" vertical="center"/>
    </xf>
    <xf numFmtId="49" fontId="0" fillId="2" borderId="19" xfId="3" applyNumberFormat="1" applyFont="1" applyFill="1" applyBorder="1" applyAlignment="1">
      <alignment horizontal="center" vertical="center" wrapText="1"/>
    </xf>
    <xf numFmtId="49" fontId="0" fillId="2" borderId="20" xfId="3" applyNumberFormat="1" applyFont="1" applyFill="1" applyBorder="1" applyAlignment="1">
      <alignment horizontal="center" vertical="center" wrapText="1"/>
    </xf>
    <xf numFmtId="9" fontId="2" fillId="2" borderId="6" xfId="81" applyFont="1" applyFill="1" applyBorder="1" applyAlignment="1">
      <alignment horizontal="center" vertical="center" wrapText="1"/>
    </xf>
    <xf numFmtId="9" fontId="2" fillId="2" borderId="8" xfId="81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/>
    </xf>
    <xf numFmtId="0" fontId="2" fillId="2" borderId="3" xfId="3" applyFont="1" applyFill="1" applyBorder="1" applyAlignment="1">
      <alignment horizontal="center" vertical="center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2" fillId="2" borderId="8" xfId="3" applyFont="1" applyFill="1" applyBorder="1" applyAlignment="1">
      <alignment horizontal="center" vertical="center" wrapText="1"/>
    </xf>
    <xf numFmtId="1" fontId="5" fillId="2" borderId="13" xfId="77" applyNumberFormat="1" applyFont="1" applyFill="1" applyBorder="1" applyAlignment="1">
      <alignment horizontal="center" vertical="center"/>
    </xf>
    <xf numFmtId="1" fontId="5" fillId="2" borderId="2" xfId="77" applyNumberFormat="1" applyFont="1" applyFill="1" applyBorder="1" applyAlignment="1">
      <alignment horizontal="center" vertical="center"/>
    </xf>
    <xf numFmtId="1" fontId="5" fillId="2" borderId="14" xfId="77" applyNumberFormat="1" applyFont="1" applyFill="1" applyBorder="1" applyAlignment="1">
      <alignment horizontal="center" vertical="center"/>
    </xf>
    <xf numFmtId="1" fontId="5" fillId="2" borderId="12" xfId="77" applyNumberFormat="1" applyFont="1" applyFill="1" applyBorder="1" applyAlignment="1">
      <alignment horizontal="center" vertical="center"/>
    </xf>
    <xf numFmtId="1" fontId="5" fillId="2" borderId="3" xfId="77" applyNumberFormat="1" applyFont="1" applyFill="1" applyBorder="1" applyAlignment="1">
      <alignment horizontal="center" vertical="center"/>
    </xf>
  </cellXfs>
  <cellStyles count="227"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Millares 12" xfId="161"/>
    <cellStyle name="Millares 2 10" xfId="129"/>
    <cellStyle name="Millares 2 11" xfId="146"/>
    <cellStyle name="Millares 2 12" xfId="163"/>
    <cellStyle name="Millares 2 13" xfId="180"/>
    <cellStyle name="Millares 2 14" xfId="196"/>
    <cellStyle name="Millares 2 15" xfId="212"/>
    <cellStyle name="Millares 2 2" xfId="2"/>
    <cellStyle name="Millares 2 3" xfId="18"/>
    <cellStyle name="Millares 2 4" xfId="33"/>
    <cellStyle name="Millares 2 5" xfId="48"/>
    <cellStyle name="Millares 2 6" xfId="63"/>
    <cellStyle name="Millares 2 7" xfId="80"/>
    <cellStyle name="Millares 2 8" xfId="96"/>
    <cellStyle name="Millares 2 9" xfId="113"/>
    <cellStyle name="Millares 9" xfId="111"/>
    <cellStyle name="Moneda" xfId="226" builtinId="4"/>
    <cellStyle name="Moneda 11" xfId="144"/>
    <cellStyle name="Moneda 13" xfId="178"/>
    <cellStyle name="Normal" xfId="0" builtinId="0"/>
    <cellStyle name="Normal 11" xfId="127"/>
    <cellStyle name="Normal 12" xfId="143"/>
    <cellStyle name="Normal 13" xfId="160"/>
    <cellStyle name="Normal 14" xfId="177"/>
    <cellStyle name="Normal 15" xfId="194"/>
    <cellStyle name="Normal 16" xfId="210"/>
    <cellStyle name="Normal 2 10" xfId="128"/>
    <cellStyle name="Normal 2 11" xfId="145"/>
    <cellStyle name="Normal 2 12" xfId="162"/>
    <cellStyle name="Normal 2 13" xfId="179"/>
    <cellStyle name="Normal 2 14" xfId="195"/>
    <cellStyle name="Normal 2 15" xfId="211"/>
    <cellStyle name="Normal 2 2" xfId="1"/>
    <cellStyle name="Normal 2 3" xfId="17"/>
    <cellStyle name="Normal 2 4" xfId="32"/>
    <cellStyle name="Normal 2 5" xfId="47"/>
    <cellStyle name="Normal 2 6" xfId="62"/>
    <cellStyle name="Normal 2 7" xfId="79"/>
    <cellStyle name="Normal 2 8" xfId="95"/>
    <cellStyle name="Normal 2 9" xfId="112"/>
    <cellStyle name="Normal 3" xfId="3"/>
    <cellStyle name="Normal 8" xfId="77"/>
    <cellStyle name="Normal 9" xfId="94"/>
    <cellStyle name="Porcentual 2 10" xfId="130"/>
    <cellStyle name="Porcentual 2 11" xfId="147"/>
    <cellStyle name="Porcentual 2 12" xfId="164"/>
    <cellStyle name="Porcentual 2 13" xfId="181"/>
    <cellStyle name="Porcentual 2 14" xfId="197"/>
    <cellStyle name="Porcentual 2 15" xfId="213"/>
    <cellStyle name="Porcentual 2 2" xfId="4"/>
    <cellStyle name="Porcentual 2 3" xfId="19"/>
    <cellStyle name="Porcentual 2 4" xfId="34"/>
    <cellStyle name="Porcentual 2 5" xfId="49"/>
    <cellStyle name="Porcentual 2 6" xfId="64"/>
    <cellStyle name="Porcentual 2 7" xfId="81"/>
    <cellStyle name="Porcentual 2 8" xfId="97"/>
    <cellStyle name="Porcentual 2 9" xfId="114"/>
    <cellStyle name="Porcentual 7" xfId="78"/>
    <cellStyle name="Porcentual 9" xfId="1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M25"/>
  <sheetViews>
    <sheetView tabSelected="1" zoomScale="60" zoomScaleNormal="60" workbookViewId="0">
      <pane xSplit="5" ySplit="4" topLeftCell="K5" activePane="bottomRight" state="frozen"/>
      <selection pane="topRight" activeCell="F1" sqref="F1"/>
      <selection pane="bottomLeft" activeCell="A5" sqref="A5"/>
      <selection pane="bottomRight" activeCell="M10" sqref="M10:M11"/>
    </sheetView>
  </sheetViews>
  <sheetFormatPr baseColWidth="10" defaultRowHeight="15"/>
  <cols>
    <col min="2" max="2" width="8.7109375" customWidth="1"/>
    <col min="3" max="3" width="42.42578125" customWidth="1"/>
    <col min="4" max="4" width="80" customWidth="1"/>
    <col min="5" max="5" width="19.42578125" bestFit="1" customWidth="1"/>
    <col min="6" max="6" width="14.28515625" customWidth="1"/>
    <col min="7" max="7" width="18.5703125" customWidth="1"/>
    <col min="8" max="8" width="29.42578125" customWidth="1"/>
    <col min="9" max="9" width="14.85546875" customWidth="1"/>
    <col min="10" max="10" width="24.5703125" customWidth="1"/>
    <col min="11" max="11" width="24.7109375" customWidth="1"/>
    <col min="12" max="12" width="37" customWidth="1"/>
    <col min="13" max="13" width="64.140625" customWidth="1"/>
    <col min="14" max="14" width="56.140625" customWidth="1"/>
    <col min="16" max="17" width="11.42578125" customWidth="1"/>
  </cols>
  <sheetData>
    <row r="2" spans="2:13" ht="68.25" customHeight="1">
      <c r="B2" s="49" t="s">
        <v>9</v>
      </c>
      <c r="C2" s="38" t="s">
        <v>10</v>
      </c>
      <c r="D2" s="38" t="s">
        <v>11</v>
      </c>
      <c r="E2" s="39" t="s">
        <v>0</v>
      </c>
      <c r="F2" s="40" t="s">
        <v>1</v>
      </c>
      <c r="G2" s="41" t="s">
        <v>12</v>
      </c>
      <c r="H2" s="9" t="s">
        <v>13</v>
      </c>
      <c r="I2" s="45" t="s">
        <v>2</v>
      </c>
      <c r="J2" s="45" t="s">
        <v>3</v>
      </c>
      <c r="K2" s="11" t="s">
        <v>25</v>
      </c>
      <c r="L2" s="14" t="s">
        <v>14</v>
      </c>
      <c r="M2" s="33" t="s">
        <v>19</v>
      </c>
    </row>
    <row r="3" spans="2:13" ht="15" customHeight="1">
      <c r="B3" s="49"/>
      <c r="C3" s="38"/>
      <c r="D3" s="38"/>
      <c r="E3" s="39"/>
      <c r="F3" s="40"/>
      <c r="G3" s="41"/>
      <c r="H3" s="47" t="s">
        <v>15</v>
      </c>
      <c r="I3" s="45"/>
      <c r="J3" s="45"/>
      <c r="K3" s="48" t="s">
        <v>16</v>
      </c>
      <c r="L3" s="46" t="s">
        <v>5</v>
      </c>
      <c r="M3" s="34"/>
    </row>
    <row r="4" spans="2:13" ht="32.25" customHeight="1">
      <c r="B4" s="49"/>
      <c r="C4" s="38"/>
      <c r="D4" s="38"/>
      <c r="E4" s="39"/>
      <c r="F4" s="40"/>
      <c r="G4" s="41"/>
      <c r="H4" s="47"/>
      <c r="I4" s="45"/>
      <c r="J4" s="45"/>
      <c r="K4" s="48"/>
      <c r="L4" s="46"/>
      <c r="M4" s="35"/>
    </row>
    <row r="5" spans="2:13" ht="39" customHeight="1">
      <c r="B5" s="19">
        <v>1</v>
      </c>
      <c r="C5" s="20" t="s">
        <v>24</v>
      </c>
      <c r="D5" s="21" t="s">
        <v>24</v>
      </c>
      <c r="E5" s="4">
        <v>1</v>
      </c>
      <c r="F5" s="5">
        <v>23</v>
      </c>
      <c r="G5" s="8" t="s">
        <v>7</v>
      </c>
      <c r="H5" s="18" t="str">
        <f>IF(2676420826&gt;=442044918*0.6,"OK","NO CUMPLE")</f>
        <v>OK</v>
      </c>
      <c r="I5" s="27">
        <f>3163602406/1415868470</f>
        <v>2.2343900390690949</v>
      </c>
      <c r="J5" s="10">
        <f>2085634290/4814274766</f>
        <v>0.43321879023803106</v>
      </c>
      <c r="K5" s="22" t="str">
        <f>IF(1747733936&gt;=442044918*0.4,"OK","NO CUMPLE")</f>
        <v>OK</v>
      </c>
      <c r="L5" s="17" t="s">
        <v>6</v>
      </c>
      <c r="M5" s="28"/>
    </row>
    <row r="6" spans="2:13" ht="15.75">
      <c r="B6" s="43">
        <v>2</v>
      </c>
      <c r="C6" s="44" t="s">
        <v>26</v>
      </c>
      <c r="D6" s="3" t="s">
        <v>27</v>
      </c>
      <c r="E6" s="4">
        <v>0.6</v>
      </c>
      <c r="F6" s="6">
        <v>29</v>
      </c>
      <c r="G6" s="8" t="s">
        <v>7</v>
      </c>
      <c r="H6" s="18" t="str">
        <f>IF(3135524024.08&gt;=442044918*0.6/2,"OK","NO CUMPLE")</f>
        <v>OK</v>
      </c>
      <c r="I6" s="27">
        <f>3664902910.43/417879801</f>
        <v>8.7702322573614886</v>
      </c>
      <c r="J6" s="10">
        <f>1306785735/4793075872.08</f>
        <v>0.2726403190510957</v>
      </c>
      <c r="K6" s="22" t="str">
        <f>IF(3247023109.43&gt;=442044918*0.4/2,"OK","NO CUMPLE")</f>
        <v>OK</v>
      </c>
      <c r="L6" s="32" t="s">
        <v>6</v>
      </c>
      <c r="M6" s="36"/>
    </row>
    <row r="7" spans="2:13" ht="15.75">
      <c r="B7" s="43"/>
      <c r="C7" s="44"/>
      <c r="D7" s="3" t="s">
        <v>28</v>
      </c>
      <c r="E7" s="4">
        <v>0.4</v>
      </c>
      <c r="F7" s="6" t="s">
        <v>29</v>
      </c>
      <c r="G7" s="8" t="s">
        <v>8</v>
      </c>
      <c r="H7" s="18" t="str">
        <f>IF(523798525&gt;=442044918*0.6/2,"OK","NO CUMPLE")</f>
        <v>OK</v>
      </c>
      <c r="I7" s="27">
        <f>766767470/379550890</f>
        <v>2.0201967383082673</v>
      </c>
      <c r="J7" s="10">
        <f>509672277/1156557740</f>
        <v>0.44068035634779462</v>
      </c>
      <c r="K7" s="22" t="str">
        <f>IF(387216580&gt;=442044918*0.4/2,"OK","NO CUMPLE")</f>
        <v>OK</v>
      </c>
      <c r="L7" s="32"/>
      <c r="M7" s="36"/>
    </row>
    <row r="8" spans="2:13" ht="32.25" customHeight="1">
      <c r="B8" s="43">
        <v>3</v>
      </c>
      <c r="C8" s="44" t="s">
        <v>30</v>
      </c>
      <c r="D8" s="3" t="s">
        <v>31</v>
      </c>
      <c r="E8" s="4">
        <v>0.6</v>
      </c>
      <c r="F8" s="5" t="s">
        <v>34</v>
      </c>
      <c r="G8" s="8" t="s">
        <v>7</v>
      </c>
      <c r="H8" s="18" t="str">
        <f>IF(200000851&gt;=442044918*0.6/2,"OK","NO CUMPLE")</f>
        <v>OK</v>
      </c>
      <c r="I8" s="27">
        <f>169914871/23342938</f>
        <v>7.2790696269681217</v>
      </c>
      <c r="J8" s="10">
        <f>23342938/223343798</f>
        <v>0.1045157206469642</v>
      </c>
      <c r="K8" s="22" t="str">
        <f>IF(146571933&gt;=442044918*0.4/2,"OK","NO CUMPLE")</f>
        <v>OK</v>
      </c>
      <c r="L8" s="32" t="s">
        <v>20</v>
      </c>
      <c r="M8" s="36" t="s">
        <v>41</v>
      </c>
    </row>
    <row r="9" spans="2:13" ht="32.25" customHeight="1">
      <c r="B9" s="43"/>
      <c r="C9" s="44"/>
      <c r="D9" s="3" t="s">
        <v>36</v>
      </c>
      <c r="E9" s="4">
        <v>0.4</v>
      </c>
      <c r="F9" s="5" t="s">
        <v>35</v>
      </c>
      <c r="G9" s="8" t="s">
        <v>8</v>
      </c>
      <c r="H9" s="18" t="str">
        <f>IF(698495530&gt;=442044918*0.6/2,"OK","NO CUMPLE")</f>
        <v>OK</v>
      </c>
      <c r="I9" s="27">
        <f>1404484863/528555946</f>
        <v>2.6572113579060939</v>
      </c>
      <c r="J9" s="10">
        <f>1011910804/1711996862</f>
        <v>0.59107047825885561</v>
      </c>
      <c r="K9" s="22" t="str">
        <f>IF(875928917&gt;=442044918*0.4/2,"OK","NO CUMPLE")</f>
        <v>OK</v>
      </c>
      <c r="L9" s="32"/>
      <c r="M9" s="36"/>
    </row>
    <row r="10" spans="2:13" ht="53.25" customHeight="1">
      <c r="B10" s="43">
        <v>4</v>
      </c>
      <c r="C10" s="44" t="s">
        <v>37</v>
      </c>
      <c r="D10" s="3" t="s">
        <v>39</v>
      </c>
      <c r="E10" s="4">
        <v>0.6</v>
      </c>
      <c r="F10" s="7">
        <v>28</v>
      </c>
      <c r="G10" s="8" t="s">
        <v>7</v>
      </c>
      <c r="H10" s="18" t="str">
        <f>IF(6502266311&gt;=442044918*0.6/2,"OK","NO CUMPLE")</f>
        <v>OK</v>
      </c>
      <c r="I10" s="27">
        <f>6824493861/2609881913</f>
        <v>2.614866912946034</v>
      </c>
      <c r="J10" s="10">
        <f>2613105910/9115372221</f>
        <v>0.28667023645835604</v>
      </c>
      <c r="K10" s="22" t="str">
        <f>IF(4214611948&gt;=442044918*0.4/2,"OK","NO CUMPLE")</f>
        <v>OK</v>
      </c>
      <c r="L10" s="32" t="s">
        <v>20</v>
      </c>
      <c r="M10" s="37" t="s">
        <v>42</v>
      </c>
    </row>
    <row r="11" spans="2:13" ht="53.25" customHeight="1">
      <c r="B11" s="43"/>
      <c r="C11" s="44"/>
      <c r="D11" s="3" t="s">
        <v>38</v>
      </c>
      <c r="E11" s="4">
        <v>0.4</v>
      </c>
      <c r="F11" s="7">
        <v>36</v>
      </c>
      <c r="G11" s="8" t="s">
        <v>8</v>
      </c>
      <c r="H11" s="18" t="str">
        <f>IF(973136000&gt;=442044918*0.6/2,"OK","NO CUMPLE")</f>
        <v>OK</v>
      </c>
      <c r="I11" s="27">
        <f>2073541000/772740000</f>
        <v>2.683361803452649</v>
      </c>
      <c r="J11" s="10">
        <f>1640701000/2717687000</f>
        <v>0.60371227444514397</v>
      </c>
      <c r="K11" s="22" t="str">
        <f>IF(1300801000&gt;=442044918*0.4/2,"OK","NO CUMPLE")</f>
        <v>OK</v>
      </c>
      <c r="L11" s="32"/>
      <c r="M11" s="37"/>
    </row>
    <row r="13" spans="2:13" ht="34.5" customHeight="1">
      <c r="C13" s="42" t="s">
        <v>40</v>
      </c>
      <c r="D13" s="42"/>
    </row>
    <row r="14" spans="2:13" ht="42" customHeight="1">
      <c r="C14" s="42"/>
      <c r="D14" s="42"/>
    </row>
    <row r="18" spans="3:7">
      <c r="C18" s="13"/>
      <c r="D18" s="13"/>
      <c r="E18" s="30"/>
      <c r="F18" s="30"/>
      <c r="G18" s="30"/>
    </row>
    <row r="19" spans="3:7">
      <c r="C19" s="12"/>
      <c r="E19" s="31"/>
      <c r="F19" s="31"/>
      <c r="G19" s="31"/>
    </row>
    <row r="20" spans="3:7" s="16" customFormat="1" ht="19.5">
      <c r="D20" s="16" t="s">
        <v>23</v>
      </c>
      <c r="G20" s="16" t="s">
        <v>22</v>
      </c>
    </row>
    <row r="22" spans="3:7">
      <c r="D22" t="s">
        <v>21</v>
      </c>
      <c r="G22" t="s">
        <v>21</v>
      </c>
    </row>
    <row r="24" spans="3:7">
      <c r="D24" s="24"/>
    </row>
    <row r="25" spans="3:7">
      <c r="C25" s="25"/>
      <c r="D25" s="26"/>
    </row>
  </sheetData>
  <mergeCells count="27">
    <mergeCell ref="C13:D14"/>
    <mergeCell ref="B10:B11"/>
    <mergeCell ref="C10:C11"/>
    <mergeCell ref="J2:J4"/>
    <mergeCell ref="L3:L4"/>
    <mergeCell ref="I2:I4"/>
    <mergeCell ref="H3:H4"/>
    <mergeCell ref="K3:K4"/>
    <mergeCell ref="B2:B4"/>
    <mergeCell ref="C2:C4"/>
    <mergeCell ref="C8:C9"/>
    <mergeCell ref="B8:B9"/>
    <mergeCell ref="C6:C7"/>
    <mergeCell ref="B6:B7"/>
    <mergeCell ref="M2:M4"/>
    <mergeCell ref="M6:M7"/>
    <mergeCell ref="M8:M9"/>
    <mergeCell ref="M10:M11"/>
    <mergeCell ref="D2:D4"/>
    <mergeCell ref="E2:E4"/>
    <mergeCell ref="F2:F4"/>
    <mergeCell ref="G2:G4"/>
    <mergeCell ref="E18:G18"/>
    <mergeCell ref="E19:G19"/>
    <mergeCell ref="L6:L7"/>
    <mergeCell ref="L8:L9"/>
    <mergeCell ref="L10:L11"/>
  </mergeCells>
  <printOptions horizontalCentered="1" verticalCentered="1"/>
  <pageMargins left="0.11811023622047245" right="0.11811023622047245" top="0.15748031496062992" bottom="0.35433070866141736" header="0.31496062992125984" footer="0.31496062992125984"/>
  <pageSetup paperSize="14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8"/>
  <sheetViews>
    <sheetView topLeftCell="B1" zoomScale="70" zoomScaleNormal="70" workbookViewId="0">
      <selection activeCell="D18" sqref="D18"/>
    </sheetView>
  </sheetViews>
  <sheetFormatPr baseColWidth="10" defaultRowHeight="15"/>
  <cols>
    <col min="2" max="2" width="6.42578125" customWidth="1"/>
    <col min="3" max="3" width="44" bestFit="1" customWidth="1"/>
    <col min="4" max="4" width="80.7109375" customWidth="1"/>
    <col min="5" max="5" width="17.5703125" customWidth="1"/>
    <col min="6" max="6" width="15.28515625" customWidth="1"/>
  </cols>
  <sheetData>
    <row r="1" spans="2:6" ht="15.75" thickBot="1"/>
    <row r="2" spans="2:6" ht="30">
      <c r="B2" s="54" t="s">
        <v>17</v>
      </c>
      <c r="C2" s="56" t="s">
        <v>33</v>
      </c>
      <c r="D2" s="58" t="s">
        <v>11</v>
      </c>
      <c r="E2" s="52" t="s">
        <v>18</v>
      </c>
      <c r="F2" s="1" t="s">
        <v>4</v>
      </c>
    </row>
    <row r="3" spans="2:6" ht="15.75" thickBot="1">
      <c r="B3" s="55"/>
      <c r="C3" s="57"/>
      <c r="D3" s="59"/>
      <c r="E3" s="53"/>
      <c r="F3" s="2"/>
    </row>
    <row r="4" spans="2:6" ht="16.5" thickBot="1">
      <c r="B4" s="23">
        <v>1</v>
      </c>
      <c r="C4" s="20" t="s">
        <v>24</v>
      </c>
      <c r="D4" s="21" t="s">
        <v>24</v>
      </c>
      <c r="E4" s="4">
        <v>1</v>
      </c>
      <c r="F4" s="29" t="s">
        <v>6</v>
      </c>
    </row>
    <row r="5" spans="2:6" ht="16.5" thickBot="1">
      <c r="B5" s="60">
        <v>2</v>
      </c>
      <c r="C5" s="44" t="s">
        <v>26</v>
      </c>
      <c r="D5" s="3" t="s">
        <v>27</v>
      </c>
      <c r="E5" s="4">
        <v>0.6</v>
      </c>
      <c r="F5" s="29" t="s">
        <v>6</v>
      </c>
    </row>
    <row r="6" spans="2:6" ht="15.75">
      <c r="B6" s="61"/>
      <c r="C6" s="44"/>
      <c r="D6" s="3" t="s">
        <v>28</v>
      </c>
      <c r="E6" s="4">
        <v>0.4</v>
      </c>
      <c r="F6" s="29" t="s">
        <v>6</v>
      </c>
    </row>
    <row r="7" spans="2:6" ht="15.75">
      <c r="B7" s="62">
        <v>3</v>
      </c>
      <c r="C7" s="44" t="s">
        <v>30</v>
      </c>
      <c r="D7" s="3" t="s">
        <v>31</v>
      </c>
      <c r="E7" s="4">
        <v>0.6</v>
      </c>
      <c r="F7" s="50" t="s">
        <v>20</v>
      </c>
    </row>
    <row r="8" spans="2:6" ht="15.75">
      <c r="B8" s="63"/>
      <c r="C8" s="44"/>
      <c r="D8" s="3" t="s">
        <v>32</v>
      </c>
      <c r="E8" s="4">
        <v>0.4</v>
      </c>
      <c r="F8" s="51"/>
    </row>
    <row r="9" spans="2:6" ht="15.75">
      <c r="B9" s="62">
        <v>4</v>
      </c>
      <c r="C9" s="44" t="s">
        <v>37</v>
      </c>
      <c r="D9" s="3" t="s">
        <v>39</v>
      </c>
      <c r="E9" s="4">
        <v>0.6</v>
      </c>
      <c r="F9" s="50" t="s">
        <v>20</v>
      </c>
    </row>
    <row r="10" spans="2:6" ht="16.5" thickBot="1">
      <c r="B10" s="64"/>
      <c r="C10" s="44"/>
      <c r="D10" s="3" t="s">
        <v>38</v>
      </c>
      <c r="E10" s="4">
        <v>0.4</v>
      </c>
      <c r="F10" s="51"/>
    </row>
    <row r="16" spans="2:6" s="15" customFormat="1" ht="19.5">
      <c r="B16" s="16" t="s">
        <v>23</v>
      </c>
      <c r="C16" s="16"/>
      <c r="D16" s="16"/>
      <c r="E16" s="16" t="s">
        <v>22</v>
      </c>
    </row>
    <row r="18" spans="2:5">
      <c r="B18" t="s">
        <v>21</v>
      </c>
      <c r="E18" t="s">
        <v>21</v>
      </c>
    </row>
  </sheetData>
  <mergeCells count="12">
    <mergeCell ref="F7:F8"/>
    <mergeCell ref="F9:F10"/>
    <mergeCell ref="E2:E3"/>
    <mergeCell ref="B2:B3"/>
    <mergeCell ref="C2:C3"/>
    <mergeCell ref="D2:D3"/>
    <mergeCell ref="B5:B6"/>
    <mergeCell ref="C5:C6"/>
    <mergeCell ref="B7:B8"/>
    <mergeCell ref="C7:C8"/>
    <mergeCell ref="B9:B10"/>
    <mergeCell ref="C9:C10"/>
  </mergeCells>
  <pageMargins left="0.11811023622047245" right="0.19685039370078741" top="0.74803149606299213" bottom="0.74803149606299213" header="0.31496062992125984" footer="0.31496062992125984"/>
  <pageSetup paperSize="14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CAPACIDAD FINANCIERA</vt:lpstr>
      <vt:lpstr>RESUMEN EVALUACION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toshiba</dc:creator>
  <cp:lastModifiedBy>mmahecha</cp:lastModifiedBy>
  <cp:lastPrinted>2013-08-08T15:15:36Z</cp:lastPrinted>
  <dcterms:created xsi:type="dcterms:W3CDTF">2013-07-26T15:09:22Z</dcterms:created>
  <dcterms:modified xsi:type="dcterms:W3CDTF">2013-12-04T00:10:10Z</dcterms:modified>
</cp:coreProperties>
</file>