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avendano\Documents\aaabbb CONCURSO NUEVAS INTERVENTORIAS FIN\Cúcuta y Nte de Santander\EVALUACION INICIAL\"/>
    </mc:Choice>
  </mc:AlternateContent>
  <bookViews>
    <workbookView xWindow="0" yWindow="0" windowWidth="23865" windowHeight="8955" tabRatio="857" firstSheet="4" activeTab="13"/>
  </bookViews>
  <sheets>
    <sheet name="INTRO" sheetId="17" state="hidden" r:id="rId1"/>
    <sheet name="PROPONENTES" sheetId="35" r:id="rId2"/>
    <sheet name="Calificación Técnica" sheetId="72" r:id="rId3"/>
    <sheet name="P1" sheetId="57" r:id="rId4"/>
    <sheet name="P1 PUNTAJE" sheetId="61" r:id="rId5"/>
    <sheet name="P2" sheetId="56" r:id="rId6"/>
    <sheet name="P2 puntaje" sheetId="62" r:id="rId7"/>
    <sheet name="P3" sheetId="48" r:id="rId8"/>
    <sheet name="P3 PUNTAJE " sheetId="60" r:id="rId9"/>
    <sheet name="P4" sheetId="49" r:id="rId10"/>
    <sheet name="P4 PUNTAJE" sheetId="59" r:id="rId11"/>
    <sheet name="P5" sheetId="66" r:id="rId12"/>
    <sheet name="P5 PUNTAJE" sheetId="67" r:id="rId13"/>
    <sheet name="P6" sheetId="68" r:id="rId14"/>
    <sheet name="P6 PUNTAJE" sheetId="69" r:id="rId15"/>
    <sheet name="P7" sheetId="70" r:id="rId16"/>
    <sheet name="P7 PUNTAJE" sheetId="71" r:id="rId17"/>
    <sheet name="P8" sheetId="73" r:id="rId18"/>
    <sheet name="P8 PUNTAJE " sheetId="74" r:id="rId19"/>
    <sheet name="RESUMEN" sheetId="12" state="hidden" r:id="rId20"/>
    <sheet name="Hoja1" sheetId="79" r:id="rId21"/>
    <sheet name="Hoja2" sheetId="65" r:id="rId22"/>
  </sheets>
  <externalReferences>
    <externalReference r:id="rId23"/>
    <externalReference r:id="rId24"/>
    <externalReference r:id="rId25"/>
    <externalReference r:id="rId26"/>
  </externalReferences>
  <definedNames>
    <definedName name="acarg1">INTRO!$C$40</definedName>
    <definedName name="acarg2">INTRO!$C$43</definedName>
    <definedName name="acarg3" localSheetId="0">INTRO!#REF!</definedName>
    <definedName name="acarg3" localSheetId="3">[1]INTRO!#REF!</definedName>
    <definedName name="acarg3" localSheetId="4">[1]INTRO!#REF!</definedName>
    <definedName name="acarg3" localSheetId="5">[1]INTRO!#REF!</definedName>
    <definedName name="acarg3" localSheetId="6">[1]INTRO!#REF!</definedName>
    <definedName name="acarg3" localSheetId="7">[1]INTRO!#REF!</definedName>
    <definedName name="acarg3" localSheetId="8">[1]INTRO!#REF!</definedName>
    <definedName name="acarg3" localSheetId="9">[1]INTRO!#REF!</definedName>
    <definedName name="acarg3" localSheetId="11">[1]INTRO!#REF!</definedName>
    <definedName name="acarg3" localSheetId="13">[1]INTRO!#REF!</definedName>
    <definedName name="acarg3" localSheetId="15">[1]INTRO!#REF!</definedName>
    <definedName name="acarg3" localSheetId="17">[1]INTRO!#REF!</definedName>
    <definedName name="acarg3" localSheetId="18">[1]INTRO!#REF!</definedName>
    <definedName name="acarg3">[1]INTRO!#REF!</definedName>
    <definedName name="area">INTRO!$B$3</definedName>
    <definedName name="_xlnm.Print_Area" localSheetId="2">'Calificación Técnica'!$A$1:$D$27</definedName>
    <definedName name="_xlnm.Print_Area" localSheetId="0">INTRO!$A$1:$D$51</definedName>
    <definedName name="_xlnm.Print_Area" localSheetId="3">'P1'!$A$1:$AA$49</definedName>
    <definedName name="_xlnm.Print_Area" localSheetId="5">'P2'!$A$1:$AA$49</definedName>
    <definedName name="_xlnm.Print_Area" localSheetId="7">'P3'!$A$1:$AA$46</definedName>
    <definedName name="_xlnm.Print_Area" localSheetId="9">'P4'!$A$1:$Z$51</definedName>
    <definedName name="_xlnm.Print_Area" localSheetId="11">'P5'!$A$1:$AA$50</definedName>
    <definedName name="_xlnm.Print_Area" localSheetId="13">'P6'!$A$1:$AA$49</definedName>
    <definedName name="_xlnm.Print_Area" localSheetId="15">'P7'!$A$1:$AA$49</definedName>
    <definedName name="_xlnm.Print_Area" localSheetId="17">'P8'!$A$1:$AA$48</definedName>
    <definedName name="bcarg1">INTRO!$C$41</definedName>
    <definedName name="bcarg2">INTRO!$C$44</definedName>
    <definedName name="bcarg3" localSheetId="0">INTRO!#REF!</definedName>
    <definedName name="bcarg3" localSheetId="3">[1]INTRO!#REF!</definedName>
    <definedName name="bcarg3" localSheetId="4">[1]INTRO!#REF!</definedName>
    <definedName name="bcarg3" localSheetId="5">[1]INTRO!#REF!</definedName>
    <definedName name="bcarg3" localSheetId="6">[1]INTRO!#REF!</definedName>
    <definedName name="bcarg3" localSheetId="7">[1]INTRO!#REF!</definedName>
    <definedName name="bcarg3" localSheetId="8">[1]INTRO!#REF!</definedName>
    <definedName name="bcarg3" localSheetId="9">[1]INTRO!#REF!</definedName>
    <definedName name="bcarg3" localSheetId="11">[1]INTRO!#REF!</definedName>
    <definedName name="bcarg3" localSheetId="13">[1]INTRO!#REF!</definedName>
    <definedName name="bcarg3" localSheetId="15">[1]INTRO!#REF!</definedName>
    <definedName name="bcarg3" localSheetId="17">[1]INTRO!#REF!</definedName>
    <definedName name="bcarg3" localSheetId="18">[1]INTRO!#REF!</definedName>
    <definedName name="bcarg3">[1]INTRO!#REF!</definedName>
    <definedName name="CARGO_4">INTRO!$A$18:$A$32</definedName>
    <definedName name="CARGO1" localSheetId="0">INTRO!$B$14</definedName>
    <definedName name="CARGO1">[1]INTRO!$B$14</definedName>
    <definedName name="CARGO2" localSheetId="0">INTRO!$B$15</definedName>
    <definedName name="CARGO2">[1]INTRO!$B$15</definedName>
    <definedName name="CARGO3" localSheetId="0">INTRO!$B$16</definedName>
    <definedName name="CARGO3" localSheetId="3">[1]INTRO!#REF!</definedName>
    <definedName name="CARGO3" localSheetId="4">[1]INTRO!#REF!</definedName>
    <definedName name="CARGO3" localSheetId="5">[1]INTRO!#REF!</definedName>
    <definedName name="CARGO3" localSheetId="6">[1]INTRO!#REF!</definedName>
    <definedName name="CARGO3" localSheetId="7">[1]INTRO!#REF!</definedName>
    <definedName name="CARGO3" localSheetId="8">[1]INTRO!#REF!</definedName>
    <definedName name="CARGO3" localSheetId="9">[1]INTRO!#REF!</definedName>
    <definedName name="CARGO3" localSheetId="11">[1]INTRO!#REF!</definedName>
    <definedName name="CARGO3" localSheetId="13">[1]INTRO!#REF!</definedName>
    <definedName name="CARGO3" localSheetId="15">[1]INTRO!#REF!</definedName>
    <definedName name="CARGO3" localSheetId="17">[1]INTRO!#REF!</definedName>
    <definedName name="CARGO3" localSheetId="18">[1]INTRO!#REF!</definedName>
    <definedName name="CARGO3">[1]INTRO!#REF!</definedName>
    <definedName name="CARGO4">INTRO!$B$17</definedName>
    <definedName name="CARGO5">INTRO!$B$18</definedName>
    <definedName name="CARGO6">INTRO!$B$19</definedName>
    <definedName name="ccarg1">INTRO!$C$48</definedName>
    <definedName name="ccarg2">INTRO!$C$50</definedName>
    <definedName name="ccarg3" localSheetId="0">INTRO!#REF!</definedName>
    <definedName name="ccarg3" localSheetId="3">[1]INTRO!#REF!</definedName>
    <definedName name="ccarg3" localSheetId="4">[1]INTRO!#REF!</definedName>
    <definedName name="ccarg3" localSheetId="5">[1]INTRO!#REF!</definedName>
    <definedName name="ccarg3" localSheetId="6">[1]INTRO!#REF!</definedName>
    <definedName name="ccarg3" localSheetId="7">[1]INTRO!#REF!</definedName>
    <definedName name="ccarg3" localSheetId="8">[1]INTRO!#REF!</definedName>
    <definedName name="ccarg3" localSheetId="9">[1]INTRO!#REF!</definedName>
    <definedName name="ccarg3" localSheetId="11">[1]INTRO!#REF!</definedName>
    <definedName name="ccarg3" localSheetId="13">[1]INTRO!#REF!</definedName>
    <definedName name="ccarg3" localSheetId="15">[1]INTRO!#REF!</definedName>
    <definedName name="ccarg3" localSheetId="17">[1]INTRO!#REF!</definedName>
    <definedName name="ccarg3" localSheetId="18">[1]INTRO!#REF!</definedName>
    <definedName name="ccarg3">[1]INTRO!#REF!</definedName>
    <definedName name="CONSORCIO">#REF!</definedName>
    <definedName name="CUMPLIMIENTO">#REF!</definedName>
    <definedName name="dcarg1">INTRO!$C$49</definedName>
    <definedName name="dcarg2">INTRO!$C$51</definedName>
    <definedName name="dcarg3" localSheetId="0">INTRO!#REF!</definedName>
    <definedName name="dcarg3" localSheetId="3">[1]INTRO!#REF!</definedName>
    <definedName name="dcarg3" localSheetId="4">[1]INTRO!#REF!</definedName>
    <definedName name="dcarg3" localSheetId="5">[1]INTRO!#REF!</definedName>
    <definedName name="dcarg3" localSheetId="6">[1]INTRO!#REF!</definedName>
    <definedName name="dcarg3" localSheetId="7">[1]INTRO!#REF!</definedName>
    <definedName name="dcarg3" localSheetId="8">[1]INTRO!#REF!</definedName>
    <definedName name="dcarg3" localSheetId="9">[1]INTRO!#REF!</definedName>
    <definedName name="dcarg3" localSheetId="11">[1]INTRO!#REF!</definedName>
    <definedName name="dcarg3" localSheetId="13">[1]INTRO!#REF!</definedName>
    <definedName name="dcarg3" localSheetId="15">[1]INTRO!#REF!</definedName>
    <definedName name="dcarg3" localSheetId="17">[1]INTRO!#REF!</definedName>
    <definedName name="dcarg3" localSheetId="18">[1]INTRO!#REF!</definedName>
    <definedName name="dcarg3">[1]INTRO!#REF!</definedName>
    <definedName name="DEPENDENCIAS">#REF!</definedName>
    <definedName name="DIRECTOR">INTRO!$B$22:$B$36</definedName>
    <definedName name="ESCONDIDO">#REF!</definedName>
    <definedName name="ESPECIALISTA_AMBIENTAL">INTRO!$B$18:$B$32</definedName>
    <definedName name="ESPECIALISTA_EN_PAVIMENTOS">INTRO!$D$22:$D$36</definedName>
    <definedName name="exepcargo3" localSheetId="3">INTRO!#REF!</definedName>
    <definedName name="exepcargo3" localSheetId="4">INTRO!#REF!</definedName>
    <definedName name="exepcargo3" localSheetId="5">INTRO!#REF!</definedName>
    <definedName name="exepcargo3" localSheetId="6">INTRO!#REF!</definedName>
    <definedName name="exepcargo3" localSheetId="7">INTRO!#REF!</definedName>
    <definedName name="exepcargo3" localSheetId="8">INTRO!#REF!</definedName>
    <definedName name="exepcargo3" localSheetId="9">INTRO!#REF!</definedName>
    <definedName name="exepcargo3" localSheetId="11">INTRO!#REF!</definedName>
    <definedName name="exepcargo3" localSheetId="13">INTRO!#REF!</definedName>
    <definedName name="exepcargo3" localSheetId="15">INTRO!#REF!</definedName>
    <definedName name="exepcargo3" localSheetId="17">INTRO!#REF!</definedName>
    <definedName name="exepcargo3" localSheetId="18">INTRO!#REF!</definedName>
    <definedName name="exepcargo3">INTRO!#REF!</definedName>
    <definedName name="exespcargo1" localSheetId="0">INTRO!$D$14</definedName>
    <definedName name="exespcargo1">[1]INTRO!$D$14</definedName>
    <definedName name="exespcargo2">INTRO!$D$15</definedName>
    <definedName name="exespcargo3" localSheetId="0">INTRO!$D$16</definedName>
    <definedName name="exespcargo3" localSheetId="3">[1]INTRO!#REF!</definedName>
    <definedName name="exespcargo3" localSheetId="4">[1]INTRO!#REF!</definedName>
    <definedName name="exespcargo3" localSheetId="5">[1]INTRO!#REF!</definedName>
    <definedName name="exespcargo3" localSheetId="6">[1]INTRO!#REF!</definedName>
    <definedName name="exespcargo3" localSheetId="7">[1]INTRO!#REF!</definedName>
    <definedName name="exespcargo3" localSheetId="8">[1]INTRO!#REF!</definedName>
    <definedName name="exespcargo3" localSheetId="9">[1]INTRO!#REF!</definedName>
    <definedName name="exespcargo3" localSheetId="11">[1]INTRO!#REF!</definedName>
    <definedName name="exespcargo3" localSheetId="13">[1]INTRO!#REF!</definedName>
    <definedName name="exespcargo3" localSheetId="15">[1]INTRO!#REF!</definedName>
    <definedName name="exespcargo3" localSheetId="17">[1]INTRO!#REF!</definedName>
    <definedName name="exespcargo3" localSheetId="18">[1]INTRO!#REF!</definedName>
    <definedName name="exespcargo3">[1]INTRO!#REF!</definedName>
    <definedName name="exespcargo4">INTRO!$D$17</definedName>
    <definedName name="exgencargo1" localSheetId="0">INTRO!$C$14</definedName>
    <definedName name="exgencargo1">[1]INTRO!$C$14</definedName>
    <definedName name="exgencargo2">INTRO!$C$15</definedName>
    <definedName name="exgencargo3" localSheetId="0">INTRO!$C$16</definedName>
    <definedName name="exgencargo3" localSheetId="3">[1]INTRO!#REF!</definedName>
    <definedName name="exgencargo3" localSheetId="4">[1]INTRO!#REF!</definedName>
    <definedName name="exgencargo3" localSheetId="5">[1]INTRO!#REF!</definedName>
    <definedName name="exgencargo3" localSheetId="6">[1]INTRO!#REF!</definedName>
    <definedName name="exgencargo3" localSheetId="7">[1]INTRO!#REF!</definedName>
    <definedName name="exgencargo3" localSheetId="8">[1]INTRO!#REF!</definedName>
    <definedName name="exgencargo3" localSheetId="9">[1]INTRO!#REF!</definedName>
    <definedName name="exgencargo3" localSheetId="11">[1]INTRO!#REF!</definedName>
    <definedName name="exgencargo3" localSheetId="13">[1]INTRO!#REF!</definedName>
    <definedName name="exgencargo3" localSheetId="15">[1]INTRO!#REF!</definedName>
    <definedName name="exgencargo3" localSheetId="17">[1]INTRO!#REF!</definedName>
    <definedName name="exgencargo3" localSheetId="18">[1]INTRO!#REF!</definedName>
    <definedName name="exgencargo3">[1]INTRO!#REF!</definedName>
    <definedName name="exgencargo4">INTRO!$C$17</definedName>
    <definedName name="exgencargo5">INTRO!$C$18</definedName>
    <definedName name="exgencargo6">INTRO!$C$19</definedName>
    <definedName name="expgencargo3" localSheetId="3">INTRO!#REF!</definedName>
    <definedName name="expgencargo3" localSheetId="4">INTRO!#REF!</definedName>
    <definedName name="expgencargo3" localSheetId="5">INTRO!#REF!</definedName>
    <definedName name="expgencargo3" localSheetId="6">INTRO!#REF!</definedName>
    <definedName name="expgencargo3" localSheetId="7">INTRO!#REF!</definedName>
    <definedName name="expgencargo3" localSheetId="8">INTRO!#REF!</definedName>
    <definedName name="expgencargo3" localSheetId="9">INTRO!#REF!</definedName>
    <definedName name="expgencargo3" localSheetId="11">INTRO!#REF!</definedName>
    <definedName name="expgencargo3" localSheetId="13">INTRO!#REF!</definedName>
    <definedName name="expgencargo3" localSheetId="15">INTRO!#REF!</definedName>
    <definedName name="expgencargo3" localSheetId="17">INTRO!#REF!</definedName>
    <definedName name="expgencargo3" localSheetId="18">INTRO!#REF!</definedName>
    <definedName name="expgencargo3">INTRO!#REF!</definedName>
    <definedName name="fcierrecal" localSheetId="0">INTRO!$B$11</definedName>
    <definedName name="fcierrecal">[1]INTRO!$B$11</definedName>
    <definedName name="fcierrepre">INTRO!$B$10</definedName>
    <definedName name="inf">#REF!</definedName>
    <definedName name="JERARQUIA" localSheetId="3">'[2]FORMULA 1'!#REF!</definedName>
    <definedName name="JERARQUIA" localSheetId="4">'[2]FORMULA 1'!#REF!</definedName>
    <definedName name="JERARQUIA" localSheetId="5">'[2]FORMULA 1'!#REF!</definedName>
    <definedName name="JERARQUIA" localSheetId="6">'[2]FORMULA 1'!#REF!</definedName>
    <definedName name="JERARQUIA" localSheetId="7">'[2]FORMULA 1'!#REF!</definedName>
    <definedName name="JERARQUIA" localSheetId="8">'[2]FORMULA 1'!#REF!</definedName>
    <definedName name="JERARQUIA" localSheetId="9">'[2]FORMULA 1'!#REF!</definedName>
    <definedName name="JERARQUIA" localSheetId="11">'[2]FORMULA 1'!#REF!</definedName>
    <definedName name="JERARQUIA" localSheetId="13">'[2]FORMULA 1'!#REF!</definedName>
    <definedName name="JERARQUIA" localSheetId="15">'[2]FORMULA 1'!#REF!</definedName>
    <definedName name="JERARQUIA" localSheetId="17">'[2]FORMULA 1'!#REF!</definedName>
    <definedName name="JERARQUIA" localSheetId="18">'[2]FORMULA 1'!#REF!</definedName>
    <definedName name="JERARQUIA">'[2]FORMULA 1'!#REF!</definedName>
    <definedName name="modulo">INTRO!$B$4</definedName>
    <definedName name="NIVELACADEMICO">#REF!</definedName>
    <definedName name="numproceso">INTRO!$B$6</definedName>
    <definedName name="objproceso">INTRO!$B$7</definedName>
    <definedName name="oevalexpesp">INTRO!$B$9</definedName>
    <definedName name="oevalexpgen">INTRO!$B$8</definedName>
    <definedName name="ORDEN" localSheetId="3">'[2]FORMULA 1'!#REF!</definedName>
    <definedName name="ORDEN" localSheetId="4">'[2]FORMULA 1'!#REF!</definedName>
    <definedName name="ORDEN" localSheetId="5">'[2]FORMULA 1'!#REF!</definedName>
    <definedName name="ORDEN" localSheetId="6">'[2]FORMULA 1'!#REF!</definedName>
    <definedName name="ORDEN" localSheetId="7">'[2]FORMULA 1'!#REF!</definedName>
    <definedName name="ORDEN" localSheetId="8">'[2]FORMULA 1'!#REF!</definedName>
    <definedName name="ORDEN" localSheetId="9">'[2]FORMULA 1'!#REF!</definedName>
    <definedName name="ORDEN" localSheetId="11">'[2]FORMULA 1'!#REF!</definedName>
    <definedName name="ORDEN" localSheetId="13">'[2]FORMULA 1'!#REF!</definedName>
    <definedName name="ORDEN" localSheetId="15">'[2]FORMULA 1'!#REF!</definedName>
    <definedName name="ORDEN" localSheetId="17">'[2]FORMULA 1'!#REF!</definedName>
    <definedName name="ORDEN" localSheetId="18">'[2]FORMULA 1'!#REF!</definedName>
    <definedName name="ORDEN">'[2]FORMULA 1'!#REF!</definedName>
    <definedName name="POSTGRADOS">#REF!</definedName>
    <definedName name="PROFESIONALES">#REF!</definedName>
    <definedName name="RESIDENTE">INTRO!$C$22:$C$36</definedName>
    <definedName name="SINO">#REF!</definedName>
    <definedName name="Z_4FD7B380_97FE_41A2_99C1_9E1A481B7C5B_.wvu.PrintArea" localSheetId="19" hidden="1">RESUMEN!$A$1:$F$2</definedName>
    <definedName name="Z_DDA08836_FFF7_4F47_B058_4616FC9BD320_.wvu.PrintArea" localSheetId="19" hidden="1">RESUMEN!$A$1:$F$2</definedName>
  </definedNames>
  <calcPr calcId="152511"/>
</workbook>
</file>

<file path=xl/calcChain.xml><?xml version="1.0" encoding="utf-8"?>
<calcChain xmlns="http://schemas.openxmlformats.org/spreadsheetml/2006/main">
  <c r="A17" i="12" l="1"/>
  <c r="B17" i="12"/>
  <c r="C25" i="12"/>
  <c r="C24" i="12"/>
  <c r="C23" i="12"/>
  <c r="C22" i="12"/>
  <c r="C21" i="12"/>
  <c r="C20" i="12"/>
  <c r="C19" i="12"/>
  <c r="C18" i="12"/>
  <c r="A19" i="12"/>
  <c r="A20" i="12"/>
  <c r="A21" i="12"/>
  <c r="A22" i="12"/>
  <c r="A23" i="12"/>
  <c r="A24" i="12"/>
  <c r="A25" i="12"/>
  <c r="B18" i="12"/>
  <c r="A18" i="12"/>
  <c r="D8" i="61"/>
  <c r="C24" i="72"/>
  <c r="E16" i="72"/>
  <c r="R47" i="56"/>
  <c r="Q34" i="66"/>
  <c r="S47" i="56"/>
  <c r="S48" i="56" s="1"/>
  <c r="X44" i="56" s="1"/>
  <c r="G6" i="12" s="1"/>
  <c r="B6" i="12"/>
  <c r="B19" i="12" s="1"/>
  <c r="C6" i="12"/>
  <c r="E6" i="12"/>
  <c r="H11" i="12"/>
  <c r="H9" i="12"/>
  <c r="E12" i="12"/>
  <c r="E11" i="12"/>
  <c r="E10" i="12"/>
  <c r="E9" i="12"/>
  <c r="E8" i="12"/>
  <c r="E7" i="12"/>
  <c r="E5" i="12"/>
  <c r="C5" i="12"/>
  <c r="R45" i="73"/>
  <c r="M37" i="73"/>
  <c r="S43" i="73"/>
  <c r="S46" i="73" s="1"/>
  <c r="X42" i="73" s="1"/>
  <c r="G12" i="12" s="1"/>
  <c r="Q31" i="73"/>
  <c r="R43" i="73"/>
  <c r="Q32" i="73"/>
  <c r="R47" i="66"/>
  <c r="Q33" i="66"/>
  <c r="S48" i="49"/>
  <c r="S49" i="49" s="1"/>
  <c r="X45" i="49" s="1"/>
  <c r="G8" i="12" s="1"/>
  <c r="O50" i="49"/>
  <c r="R47" i="49"/>
  <c r="R46" i="49"/>
  <c r="R45" i="49"/>
  <c r="Q37" i="49"/>
  <c r="Q36" i="49"/>
  <c r="Q35" i="49"/>
  <c r="Q34" i="49"/>
  <c r="Q33" i="49"/>
  <c r="Q32" i="49"/>
  <c r="S45" i="49"/>
  <c r="R48" i="49"/>
  <c r="R47" i="68"/>
  <c r="R45" i="68"/>
  <c r="R44" i="73"/>
  <c r="Q44" i="73"/>
  <c r="P44" i="73"/>
  <c r="N44" i="73"/>
  <c r="G44" i="73"/>
  <c r="O43" i="73"/>
  <c r="G33" i="73"/>
  <c r="G42" i="73" s="1"/>
  <c r="Q34" i="73"/>
  <c r="Q33" i="73"/>
  <c r="R42" i="73" s="1"/>
  <c r="T34" i="73"/>
  <c r="T33" i="73"/>
  <c r="N34" i="73"/>
  <c r="O34" i="73"/>
  <c r="O33" i="73"/>
  <c r="Q42" i="73" s="1"/>
  <c r="N33" i="73"/>
  <c r="P42" i="73" s="1"/>
  <c r="G34" i="73"/>
  <c r="M34" i="73"/>
  <c r="M33" i="73"/>
  <c r="T31" i="73"/>
  <c r="O31" i="73"/>
  <c r="Q43" i="73" s="1"/>
  <c r="N31" i="73"/>
  <c r="P43" i="73" s="1"/>
  <c r="M31" i="73"/>
  <c r="N43" i="73" s="1"/>
  <c r="G31" i="73"/>
  <c r="G43" i="73" s="1"/>
  <c r="B7" i="12"/>
  <c r="B20" i="12" s="1"/>
  <c r="B8" i="12"/>
  <c r="B21" i="12" s="1"/>
  <c r="B9" i="12"/>
  <c r="B22" i="12" s="1"/>
  <c r="B10" i="12"/>
  <c r="B23" i="12" s="1"/>
  <c r="B11" i="12"/>
  <c r="B24" i="12" s="1"/>
  <c r="B12" i="12"/>
  <c r="B25" i="12" s="1"/>
  <c r="K17" i="73"/>
  <c r="R47" i="57"/>
  <c r="Q36" i="57"/>
  <c r="Q35" i="57"/>
  <c r="Q31" i="57"/>
  <c r="Q30" i="48"/>
  <c r="R45" i="56"/>
  <c r="Q36" i="56"/>
  <c r="Q35" i="56"/>
  <c r="Q34" i="56"/>
  <c r="Q31" i="56"/>
  <c r="Q32" i="56"/>
  <c r="R46" i="56"/>
  <c r="R44" i="56"/>
  <c r="Q33" i="56"/>
  <c r="Q25" i="48"/>
  <c r="Q34" i="57"/>
  <c r="R46" i="70"/>
  <c r="R44" i="70"/>
  <c r="R43" i="70"/>
  <c r="Q35" i="70"/>
  <c r="Q26" i="70"/>
  <c r="Q25" i="70"/>
  <c r="O26" i="70"/>
  <c r="N26" i="70"/>
  <c r="L26" i="70"/>
  <c r="G26" i="70"/>
  <c r="R45" i="70"/>
  <c r="S45" i="70"/>
  <c r="S47" i="70" s="1"/>
  <c r="X43" i="70" s="1"/>
  <c r="G11" i="12" s="1"/>
  <c r="Q43" i="70"/>
  <c r="P43" i="70"/>
  <c r="O43" i="70"/>
  <c r="N43" i="70"/>
  <c r="Q34" i="70"/>
  <c r="Q32" i="70"/>
  <c r="Q31" i="70"/>
  <c r="O25" i="70"/>
  <c r="N25" i="70"/>
  <c r="L25" i="70"/>
  <c r="R46" i="68"/>
  <c r="R48" i="68"/>
  <c r="Q37" i="68"/>
  <c r="M37" i="68"/>
  <c r="Q35" i="68"/>
  <c r="Q34" i="68"/>
  <c r="Q33" i="68"/>
  <c r="Q32" i="68"/>
  <c r="Q26" i="68"/>
  <c r="Q25" i="68"/>
  <c r="Q24" i="68"/>
  <c r="O25" i="68"/>
  <c r="N25" i="68"/>
  <c r="L25" i="68"/>
  <c r="G25" i="68"/>
  <c r="O26" i="68"/>
  <c r="N26" i="68"/>
  <c r="L26" i="68"/>
  <c r="G26" i="68"/>
  <c r="O24" i="68"/>
  <c r="N24" i="68"/>
  <c r="L24" i="68"/>
  <c r="G24" i="68"/>
  <c r="Q36" i="68"/>
  <c r="S46" i="66"/>
  <c r="S48" i="66" s="1"/>
  <c r="X44" i="66" s="1"/>
  <c r="G9" i="12" s="1"/>
  <c r="R46" i="66"/>
  <c r="R45" i="66"/>
  <c r="R44" i="66"/>
  <c r="T36" i="66"/>
  <c r="T35" i="66"/>
  <c r="Q36" i="66"/>
  <c r="Q35" i="66"/>
  <c r="R44" i="48"/>
  <c r="S43" i="48"/>
  <c r="R43" i="48"/>
  <c r="S42" i="48"/>
  <c r="S45" i="48" s="1"/>
  <c r="V41" i="48" s="1"/>
  <c r="G7" i="12" s="1"/>
  <c r="R42" i="48"/>
  <c r="R41" i="48"/>
  <c r="O25" i="48"/>
  <c r="N25" i="48"/>
  <c r="L25" i="48"/>
  <c r="G25" i="48"/>
  <c r="Q33" i="48"/>
  <c r="Q32" i="48"/>
  <c r="G23" i="48"/>
  <c r="L23" i="48"/>
  <c r="N23" i="48"/>
  <c r="O23" i="48"/>
  <c r="Q31" i="48"/>
  <c r="S47" i="57"/>
  <c r="R46" i="57"/>
  <c r="S44" i="57"/>
  <c r="Q32" i="57"/>
  <c r="C14" i="72"/>
  <c r="C16" i="72" s="1"/>
  <c r="E24" i="72"/>
  <c r="D8" i="69"/>
  <c r="D9" i="60"/>
  <c r="Q24" i="48"/>
  <c r="D8" i="62"/>
  <c r="T34" i="66"/>
  <c r="T33" i="66"/>
  <c r="Q23" i="48"/>
  <c r="R45" i="57"/>
  <c r="Q33" i="57"/>
  <c r="R44" i="57"/>
  <c r="A10" i="49"/>
  <c r="A20" i="49" s="1"/>
  <c r="O24" i="48"/>
  <c r="N24" i="48"/>
  <c r="L24" i="48"/>
  <c r="G24" i="48"/>
  <c r="C15" i="48"/>
  <c r="A15" i="48"/>
  <c r="B6" i="73"/>
  <c r="B16" i="73" s="1"/>
  <c r="E9" i="72"/>
  <c r="E16" i="73"/>
  <c r="C16" i="73"/>
  <c r="A16" i="73"/>
  <c r="C14" i="73"/>
  <c r="AQ10" i="73"/>
  <c r="AO10" i="73"/>
  <c r="C10" i="73"/>
  <c r="B10" i="73"/>
  <c r="AS10" i="73" s="1"/>
  <c r="AQ9" i="73"/>
  <c r="AO9" i="73"/>
  <c r="A9" i="73"/>
  <c r="AQ8" i="73"/>
  <c r="AO8" i="73"/>
  <c r="A8" i="73"/>
  <c r="A18" i="73" s="1"/>
  <c r="AQ7" i="73"/>
  <c r="AR7" i="73" s="1"/>
  <c r="AO7" i="73"/>
  <c r="AP7" i="73"/>
  <c r="A7" i="73"/>
  <c r="B5" i="12"/>
  <c r="AD5" i="70"/>
  <c r="AE5" i="70"/>
  <c r="AF5" i="70"/>
  <c r="B6" i="70"/>
  <c r="D3" i="71" s="1"/>
  <c r="AD6" i="70"/>
  <c r="AE6" i="70"/>
  <c r="AF6" i="70"/>
  <c r="A7" i="70"/>
  <c r="A17" i="70" s="1"/>
  <c r="AD7" i="70"/>
  <c r="AE7" i="70"/>
  <c r="AF7" i="70"/>
  <c r="AO7" i="70"/>
  <c r="AP7" i="70"/>
  <c r="AQ7" i="70"/>
  <c r="AR7" i="70" s="1"/>
  <c r="A8" i="70"/>
  <c r="B8" i="70" s="1"/>
  <c r="AD8" i="70"/>
  <c r="AE8" i="70"/>
  <c r="AF8" i="70"/>
  <c r="AO8" i="70"/>
  <c r="AQ8" i="70"/>
  <c r="A9" i="70"/>
  <c r="AD9" i="70"/>
  <c r="AE9" i="70"/>
  <c r="AF9" i="70"/>
  <c r="AO9" i="70"/>
  <c r="AQ9" i="70"/>
  <c r="B10" i="70"/>
  <c r="AS10" i="70" s="1"/>
  <c r="C10" i="70"/>
  <c r="AD10" i="70"/>
  <c r="AE10" i="70"/>
  <c r="AF10" i="70"/>
  <c r="AO10" i="70"/>
  <c r="AQ10" i="70"/>
  <c r="AD11" i="70"/>
  <c r="AE11" i="70"/>
  <c r="AF11" i="70"/>
  <c r="AD12" i="70"/>
  <c r="AE12" i="70"/>
  <c r="AF12" i="70"/>
  <c r="AD13" i="70"/>
  <c r="AE13" i="70"/>
  <c r="AF13" i="70"/>
  <c r="C14" i="70"/>
  <c r="AD14" i="70"/>
  <c r="AE14" i="70"/>
  <c r="AF14" i="70"/>
  <c r="A16" i="70"/>
  <c r="C16" i="70"/>
  <c r="E16" i="70"/>
  <c r="AD5" i="68"/>
  <c r="AE5" i="68" s="1"/>
  <c r="AF5" i="68"/>
  <c r="B6" i="68"/>
  <c r="B16" i="68" s="1"/>
  <c r="D3" i="69"/>
  <c r="AD6" i="68"/>
  <c r="AE6" i="68"/>
  <c r="AF6" i="68"/>
  <c r="A7" i="68"/>
  <c r="B7" i="68" s="1"/>
  <c r="AD7" i="68"/>
  <c r="AE7" i="68"/>
  <c r="AF7" i="68"/>
  <c r="AO7" i="68"/>
  <c r="AP7" i="68" s="1"/>
  <c r="AQ7" i="68"/>
  <c r="AR7" i="68" s="1"/>
  <c r="A8" i="68"/>
  <c r="A18" i="68"/>
  <c r="C18" i="68" s="1"/>
  <c r="C8" i="68"/>
  <c r="AD8" i="68"/>
  <c r="AE8" i="68"/>
  <c r="AF8" i="68"/>
  <c r="AO8" i="68"/>
  <c r="AQ8" i="68"/>
  <c r="A9" i="68"/>
  <c r="A19" i="68" s="1"/>
  <c r="B9" i="68"/>
  <c r="N9" i="68" s="1"/>
  <c r="AD9" i="68"/>
  <c r="AE9" i="68"/>
  <c r="AF9" i="68"/>
  <c r="AO9" i="68"/>
  <c r="AQ9" i="68"/>
  <c r="B10" i="68"/>
  <c r="AS10" i="68" s="1"/>
  <c r="C10" i="68"/>
  <c r="AD10" i="68"/>
  <c r="AE10" i="68"/>
  <c r="AF10" i="68"/>
  <c r="AO10" i="68"/>
  <c r="AQ10" i="68"/>
  <c r="AD11" i="68"/>
  <c r="AE11" i="68"/>
  <c r="AF11" i="68"/>
  <c r="AD12" i="68"/>
  <c r="AE12" i="68"/>
  <c r="AF12" i="68"/>
  <c r="AD13" i="68"/>
  <c r="AE13" i="68"/>
  <c r="AF13" i="68"/>
  <c r="C14" i="68"/>
  <c r="AD14" i="68"/>
  <c r="AE14" i="68"/>
  <c r="AF14" i="68"/>
  <c r="A16" i="68"/>
  <c r="C16" i="68"/>
  <c r="E16" i="68"/>
  <c r="AD5" i="66"/>
  <c r="AE5" i="66" s="1"/>
  <c r="AF5" i="66"/>
  <c r="B6" i="66"/>
  <c r="D3" i="67" s="1"/>
  <c r="AD6" i="66"/>
  <c r="AE6" i="66"/>
  <c r="AF6" i="66"/>
  <c r="A7" i="66"/>
  <c r="C7" i="66"/>
  <c r="AD7" i="66"/>
  <c r="AE7" i="66"/>
  <c r="AF7" i="66"/>
  <c r="AO7" i="66"/>
  <c r="AP7" i="66" s="1"/>
  <c r="AQ7" i="66"/>
  <c r="AR7" i="66" s="1"/>
  <c r="A8" i="66"/>
  <c r="C8" i="66" s="1"/>
  <c r="AD8" i="66"/>
  <c r="AE8" i="66"/>
  <c r="AF8" i="66"/>
  <c r="AO8" i="66"/>
  <c r="AQ8" i="66"/>
  <c r="A9" i="66"/>
  <c r="C9" i="66" s="1"/>
  <c r="C19" i="66" s="1"/>
  <c r="AD9" i="66"/>
  <c r="AE9" i="66"/>
  <c r="AF9" i="66"/>
  <c r="AO9" i="66"/>
  <c r="AQ9" i="66"/>
  <c r="B10" i="66"/>
  <c r="AS10" i="66" s="1"/>
  <c r="C10" i="66"/>
  <c r="AD10" i="66"/>
  <c r="AE10" i="66"/>
  <c r="AF10" i="66"/>
  <c r="AO10" i="66"/>
  <c r="AQ10" i="66"/>
  <c r="AD11" i="66"/>
  <c r="AE11" i="66"/>
  <c r="AF11" i="66"/>
  <c r="AD12" i="66"/>
  <c r="AE12" i="66"/>
  <c r="AF12" i="66"/>
  <c r="AD13" i="66"/>
  <c r="AE13" i="66"/>
  <c r="AF13" i="66"/>
  <c r="C14" i="66"/>
  <c r="AD14" i="66"/>
  <c r="AE14" i="66"/>
  <c r="AF14" i="66"/>
  <c r="A16" i="66"/>
  <c r="C16" i="66"/>
  <c r="E16" i="66"/>
  <c r="AD5" i="49"/>
  <c r="AE5" i="49"/>
  <c r="AF5" i="49"/>
  <c r="B6" i="49"/>
  <c r="B16" i="49" s="1"/>
  <c r="AD6" i="49"/>
  <c r="AE6" i="49"/>
  <c r="AF6" i="49"/>
  <c r="A7" i="49"/>
  <c r="A17" i="49" s="1"/>
  <c r="AD7" i="49"/>
  <c r="AE7" i="49"/>
  <c r="AF7" i="49"/>
  <c r="AO7" i="49"/>
  <c r="AP7" i="49"/>
  <c r="AQ7" i="49"/>
  <c r="AR7" i="49" s="1"/>
  <c r="A8" i="49"/>
  <c r="AD8" i="49"/>
  <c r="AE8" i="49"/>
  <c r="AF8" i="49"/>
  <c r="AO8" i="49"/>
  <c r="AQ8" i="49"/>
  <c r="A9" i="49"/>
  <c r="A19" i="49" s="1"/>
  <c r="AD9" i="49"/>
  <c r="AE9" i="49"/>
  <c r="AF9" i="49"/>
  <c r="AO9" i="49"/>
  <c r="AQ9" i="49"/>
  <c r="AD10" i="49"/>
  <c r="AE10" i="49"/>
  <c r="AF10" i="49"/>
  <c r="AO10" i="49"/>
  <c r="AQ10" i="49"/>
  <c r="AD11" i="49"/>
  <c r="AE11" i="49"/>
  <c r="AF11" i="49"/>
  <c r="AD12" i="49"/>
  <c r="AE12" i="49"/>
  <c r="AF12" i="49"/>
  <c r="AD13" i="49"/>
  <c r="AE13" i="49"/>
  <c r="AF13" i="49"/>
  <c r="C14" i="49"/>
  <c r="AD14" i="49"/>
  <c r="AE14" i="49"/>
  <c r="AF14" i="49"/>
  <c r="A16" i="49"/>
  <c r="C16" i="49"/>
  <c r="E16" i="49"/>
  <c r="AD5" i="48"/>
  <c r="AE5" i="48" s="1"/>
  <c r="B6" i="48"/>
  <c r="B15" i="48" s="1"/>
  <c r="AD6" i="48"/>
  <c r="AE6" i="48" s="1"/>
  <c r="A7" i="48"/>
  <c r="A16" i="48"/>
  <c r="AO7" i="48"/>
  <c r="AP7" i="48" s="1"/>
  <c r="A8" i="48"/>
  <c r="A17" i="48"/>
  <c r="AO8" i="48"/>
  <c r="A9" i="48"/>
  <c r="B9" i="48" s="1"/>
  <c r="AO9" i="48"/>
  <c r="AQ9" i="48"/>
  <c r="C13" i="48"/>
  <c r="E15" i="48"/>
  <c r="AD5" i="56"/>
  <c r="AE5" i="56" s="1"/>
  <c r="AF5" i="56"/>
  <c r="B6" i="56"/>
  <c r="B16" i="56" s="1"/>
  <c r="AD6" i="56"/>
  <c r="AE6" i="56"/>
  <c r="AF6" i="56"/>
  <c r="A7" i="56"/>
  <c r="A17" i="56" s="1"/>
  <c r="AD7" i="56"/>
  <c r="AE7" i="56"/>
  <c r="AF7" i="56"/>
  <c r="AP7" i="56"/>
  <c r="AQ7" i="56" s="1"/>
  <c r="AR7" i="56"/>
  <c r="AS7" i="56" s="1"/>
  <c r="A8" i="56"/>
  <c r="C8" i="56" s="1"/>
  <c r="C18" i="56" s="1"/>
  <c r="AD8" i="56"/>
  <c r="AE8" i="56"/>
  <c r="AF8" i="56"/>
  <c r="AP8" i="56"/>
  <c r="AR8" i="56"/>
  <c r="A9" i="56"/>
  <c r="A19" i="56" s="1"/>
  <c r="AD9" i="56"/>
  <c r="AE9" i="56"/>
  <c r="AF9" i="56"/>
  <c r="AP9" i="56"/>
  <c r="AR9" i="56"/>
  <c r="B10" i="56"/>
  <c r="AT10" i="56" s="1"/>
  <c r="C10" i="56"/>
  <c r="AD10" i="56"/>
  <c r="AE10" i="56"/>
  <c r="AF10" i="56"/>
  <c r="AP10" i="56"/>
  <c r="AR10" i="56"/>
  <c r="AD11" i="56"/>
  <c r="AE11" i="56"/>
  <c r="AF11" i="56"/>
  <c r="AD12" i="56"/>
  <c r="AE12" i="56"/>
  <c r="AF12" i="56"/>
  <c r="AD13" i="56"/>
  <c r="AE13" i="56"/>
  <c r="AF13" i="56"/>
  <c r="C14" i="56"/>
  <c r="AD14" i="56"/>
  <c r="AE14" i="56"/>
  <c r="AF14" i="56"/>
  <c r="A16" i="56"/>
  <c r="C16" i="56"/>
  <c r="E16" i="56"/>
  <c r="AD5" i="57"/>
  <c r="AE5" i="57"/>
  <c r="AF5" i="57"/>
  <c r="B6" i="57"/>
  <c r="AD6" i="57"/>
  <c r="AE6" i="57" s="1"/>
  <c r="AF6" i="57"/>
  <c r="A7" i="57"/>
  <c r="C7" i="57" s="1"/>
  <c r="C17" i="57" s="1"/>
  <c r="AK7" i="57"/>
  <c r="AL7" i="57"/>
  <c r="AM7" i="57"/>
  <c r="AN7" i="57" s="1"/>
  <c r="A8" i="57"/>
  <c r="AK8" i="57"/>
  <c r="AM8" i="57"/>
  <c r="A9" i="57"/>
  <c r="A19" i="57" s="1"/>
  <c r="AK9" i="57"/>
  <c r="AM9" i="57"/>
  <c r="B10" i="57"/>
  <c r="AO10" i="57" s="1"/>
  <c r="C10" i="57"/>
  <c r="AK10" i="57"/>
  <c r="AM10" i="57"/>
  <c r="C14" i="57"/>
  <c r="A16" i="57"/>
  <c r="C16" i="57"/>
  <c r="E16" i="57"/>
  <c r="B21" i="17"/>
  <c r="C21" i="17"/>
  <c r="D21" i="17"/>
  <c r="E21" i="17"/>
  <c r="F21" i="17"/>
  <c r="G21" i="17"/>
  <c r="A40" i="17"/>
  <c r="D40" i="17"/>
  <c r="A43" i="17"/>
  <c r="D43" i="17"/>
  <c r="A48" i="17"/>
  <c r="D48" i="17"/>
  <c r="A50" i="17"/>
  <c r="D50" i="17"/>
  <c r="C9" i="49"/>
  <c r="E10" i="49" s="1"/>
  <c r="E20" i="49" s="1"/>
  <c r="C19" i="49"/>
  <c r="B7" i="49"/>
  <c r="AO31" i="48"/>
  <c r="C8" i="49"/>
  <c r="C18" i="49" s="1"/>
  <c r="C7" i="70"/>
  <c r="C9" i="70"/>
  <c r="C8" i="48"/>
  <c r="C17" i="48"/>
  <c r="B7" i="73"/>
  <c r="C8" i="73"/>
  <c r="C18" i="73" s="1"/>
  <c r="S49" i="68"/>
  <c r="X45" i="68"/>
  <c r="G10" i="12" s="1"/>
  <c r="AP34" i="73"/>
  <c r="AP33" i="73"/>
  <c r="C9" i="73"/>
  <c r="C19" i="73" s="1"/>
  <c r="B8" i="57"/>
  <c r="I8" i="57" s="1"/>
  <c r="C8" i="57"/>
  <c r="A18" i="70"/>
  <c r="C18" i="70" s="1"/>
  <c r="A18" i="57"/>
  <c r="A18" i="56"/>
  <c r="A17" i="57"/>
  <c r="B7" i="57"/>
  <c r="N7" i="57" s="1"/>
  <c r="B8" i="68"/>
  <c r="B10" i="49"/>
  <c r="J20" i="49" s="1"/>
  <c r="C9" i="68"/>
  <c r="C10" i="49"/>
  <c r="C20" i="49" s="1"/>
  <c r="I8" i="68"/>
  <c r="B17" i="49"/>
  <c r="A17" i="66"/>
  <c r="B7" i="66"/>
  <c r="I7" i="66" s="1"/>
  <c r="B9" i="66"/>
  <c r="I9" i="66" s="1"/>
  <c r="C7" i="48"/>
  <c r="C16" i="48" s="1"/>
  <c r="C9" i="48"/>
  <c r="C18" i="48" s="1"/>
  <c r="B7" i="48"/>
  <c r="I7" i="48" s="1"/>
  <c r="B8" i="48"/>
  <c r="I8" i="48" s="1"/>
  <c r="B16" i="48"/>
  <c r="B20" i="49"/>
  <c r="A18" i="49"/>
  <c r="B8" i="49"/>
  <c r="J18" i="49" s="1"/>
  <c r="C17" i="66"/>
  <c r="B18" i="57"/>
  <c r="A19" i="66"/>
  <c r="A17" i="73"/>
  <c r="C7" i="73"/>
  <c r="C17" i="73" s="1"/>
  <c r="A19" i="73"/>
  <c r="B9" i="73"/>
  <c r="A19" i="70"/>
  <c r="C19" i="70" s="1"/>
  <c r="B9" i="70"/>
  <c r="J19" i="70" s="1"/>
  <c r="J18" i="68"/>
  <c r="N8" i="68"/>
  <c r="I9" i="70"/>
  <c r="B19" i="70"/>
  <c r="Q35" i="73"/>
  <c r="D3" i="62"/>
  <c r="D4" i="60"/>
  <c r="D3" i="59"/>
  <c r="D3" i="61"/>
  <c r="N9" i="70" l="1"/>
  <c r="E7" i="66"/>
  <c r="B7" i="56"/>
  <c r="B9" i="49"/>
  <c r="C7" i="49"/>
  <c r="C8" i="70"/>
  <c r="Q37" i="57"/>
  <c r="S48" i="57"/>
  <c r="X44" i="57" s="1"/>
  <c r="G5" i="12" s="1"/>
  <c r="Q37" i="66"/>
  <c r="C7" i="56"/>
  <c r="C17" i="56" s="1"/>
  <c r="E8" i="57"/>
  <c r="E18" i="57" s="1"/>
  <c r="B8" i="56"/>
  <c r="AO8" i="57"/>
  <c r="E7" i="73"/>
  <c r="E17" i="73" s="1"/>
  <c r="AS9" i="70"/>
  <c r="E8" i="68"/>
  <c r="Q38" i="49"/>
  <c r="T43" i="73"/>
  <c r="Q36" i="70"/>
  <c r="Q37" i="56"/>
  <c r="E14" i="72"/>
  <c r="B17" i="48"/>
  <c r="T45" i="66"/>
  <c r="T44" i="56"/>
  <c r="T48" i="49"/>
  <c r="T46" i="56"/>
  <c r="T47" i="66"/>
  <c r="T44" i="57"/>
  <c r="T41" i="48"/>
  <c r="T47" i="68"/>
  <c r="T47" i="57"/>
  <c r="T44" i="70"/>
  <c r="T48" i="68"/>
  <c r="T45" i="49"/>
  <c r="T46" i="70"/>
  <c r="T46" i="68"/>
  <c r="T44" i="48"/>
  <c r="T47" i="56"/>
  <c r="T44" i="73"/>
  <c r="T42" i="48"/>
  <c r="T45" i="56"/>
  <c r="T44" i="66"/>
  <c r="T46" i="49"/>
  <c r="T42" i="73"/>
  <c r="T47" i="49"/>
  <c r="C18" i="72"/>
  <c r="E18" i="72" s="1"/>
  <c r="R31" i="70" s="1"/>
  <c r="R33" i="68"/>
  <c r="C19" i="68"/>
  <c r="B19" i="68"/>
  <c r="T45" i="73"/>
  <c r="C17" i="70"/>
  <c r="B17" i="70"/>
  <c r="T46" i="57"/>
  <c r="T43" i="48"/>
  <c r="T45" i="70"/>
  <c r="T43" i="70"/>
  <c r="T45" i="68"/>
  <c r="N7" i="68"/>
  <c r="N6" i="68" s="1"/>
  <c r="C10" i="12" s="1"/>
  <c r="C35" i="68"/>
  <c r="AP35" i="68" s="1"/>
  <c r="J17" i="68"/>
  <c r="I7" i="68"/>
  <c r="J18" i="48"/>
  <c r="N9" i="48"/>
  <c r="B18" i="48"/>
  <c r="I9" i="48"/>
  <c r="N8" i="70"/>
  <c r="AS8" i="70"/>
  <c r="T45" i="57"/>
  <c r="R31" i="57"/>
  <c r="R31" i="48"/>
  <c r="S32" i="68"/>
  <c r="F10" i="12" s="1"/>
  <c r="N9" i="66"/>
  <c r="J17" i="48"/>
  <c r="AQ8" i="48" s="1"/>
  <c r="C9" i="56"/>
  <c r="C19" i="56" s="1"/>
  <c r="AS7" i="66"/>
  <c r="N8" i="48"/>
  <c r="I9" i="68"/>
  <c r="B19" i="66"/>
  <c r="A18" i="48"/>
  <c r="C7" i="68"/>
  <c r="E7" i="68" s="1"/>
  <c r="E17" i="68" s="1"/>
  <c r="B7" i="70"/>
  <c r="B8" i="66"/>
  <c r="A17" i="68"/>
  <c r="B8" i="73"/>
  <c r="C26" i="73" s="1"/>
  <c r="S31" i="56"/>
  <c r="F6" i="12" s="1"/>
  <c r="C33" i="66"/>
  <c r="AP33" i="66" s="1"/>
  <c r="N7" i="48"/>
  <c r="C24" i="73"/>
  <c r="AN24" i="73" s="1"/>
  <c r="AO24" i="73" s="1"/>
  <c r="B9" i="57"/>
  <c r="I7" i="73"/>
  <c r="AS9" i="68"/>
  <c r="B17" i="66"/>
  <c r="A18" i="66"/>
  <c r="B18" i="68"/>
  <c r="C26" i="57"/>
  <c r="C9" i="57"/>
  <c r="C19" i="57" s="1"/>
  <c r="J17" i="73"/>
  <c r="J19" i="68"/>
  <c r="B9" i="56"/>
  <c r="N7" i="66"/>
  <c r="N8" i="57"/>
  <c r="E9" i="68"/>
  <c r="E19" i="68" s="1"/>
  <c r="Q34" i="48"/>
  <c r="R34" i="48" s="1"/>
  <c r="J17" i="66"/>
  <c r="R30" i="48"/>
  <c r="B18" i="70"/>
  <c r="E9" i="49"/>
  <c r="E19" i="49" s="1"/>
  <c r="R38" i="49"/>
  <c r="J18" i="57"/>
  <c r="B16" i="70"/>
  <c r="T46" i="66"/>
  <c r="B16" i="57"/>
  <c r="C45" i="66"/>
  <c r="E9" i="70"/>
  <c r="E19" i="70" s="1"/>
  <c r="I10" i="49"/>
  <c r="C20" i="72"/>
  <c r="E20" i="72" s="1"/>
  <c r="C46" i="49"/>
  <c r="C31" i="73"/>
  <c r="AP31" i="73" s="1"/>
  <c r="B18" i="49"/>
  <c r="AS8" i="49"/>
  <c r="I8" i="49"/>
  <c r="E8" i="49"/>
  <c r="E18" i="49" s="1"/>
  <c r="C27" i="49"/>
  <c r="I9" i="56"/>
  <c r="C47" i="68"/>
  <c r="C33" i="68"/>
  <c r="AP33" i="68" s="1"/>
  <c r="E9" i="73"/>
  <c r="E19" i="73" s="1"/>
  <c r="B19" i="73"/>
  <c r="N9" i="73"/>
  <c r="AS9" i="73"/>
  <c r="I9" i="73"/>
  <c r="J19" i="73"/>
  <c r="E18" i="68"/>
  <c r="C25" i="68"/>
  <c r="C34" i="68"/>
  <c r="AP34" i="68" s="1"/>
  <c r="C24" i="68"/>
  <c r="AN24" i="68" s="1"/>
  <c r="AO24" i="68" s="1"/>
  <c r="N8" i="49"/>
  <c r="AT7" i="56"/>
  <c r="AS9" i="66"/>
  <c r="C36" i="57"/>
  <c r="AK36" i="57" s="1"/>
  <c r="AS8" i="68"/>
  <c r="C47" i="57"/>
  <c r="J18" i="70"/>
  <c r="AS10" i="49"/>
  <c r="J19" i="66"/>
  <c r="AS8" i="66"/>
  <c r="C18" i="66"/>
  <c r="I7" i="57"/>
  <c r="AO7" i="57"/>
  <c r="C18" i="57"/>
  <c r="B16" i="66"/>
  <c r="D3" i="74"/>
  <c r="AT8" i="56"/>
  <c r="AS7" i="73"/>
  <c r="C25" i="49"/>
  <c r="AS7" i="48"/>
  <c r="N7" i="73"/>
  <c r="I8" i="70"/>
  <c r="E8" i="48"/>
  <c r="C33" i="48" s="1"/>
  <c r="AN33" i="48" s="1"/>
  <c r="AS8" i="48"/>
  <c r="E8" i="70"/>
  <c r="E18" i="70" s="1"/>
  <c r="J16" i="48"/>
  <c r="E7" i="48"/>
  <c r="AS9" i="48"/>
  <c r="R36" i="70"/>
  <c r="B17" i="57"/>
  <c r="J17" i="57"/>
  <c r="E7" i="57"/>
  <c r="C46" i="57" s="1"/>
  <c r="B17" i="73"/>
  <c r="N7" i="49"/>
  <c r="Q38" i="68"/>
  <c r="R38" i="68" s="1"/>
  <c r="I7" i="49"/>
  <c r="E8" i="56"/>
  <c r="N7" i="56"/>
  <c r="E7" i="56"/>
  <c r="C48" i="68"/>
  <c r="C46" i="68"/>
  <c r="C32" i="68"/>
  <c r="AP32" i="68" s="1"/>
  <c r="C35" i="57"/>
  <c r="C44" i="66"/>
  <c r="C34" i="66"/>
  <c r="AP34" i="66" s="1"/>
  <c r="C26" i="66"/>
  <c r="AM26" i="66" s="1"/>
  <c r="AN26" i="66" s="1"/>
  <c r="F11" i="12"/>
  <c r="I9" i="49"/>
  <c r="C44" i="57"/>
  <c r="E9" i="66"/>
  <c r="C25" i="48"/>
  <c r="AL25" i="48" s="1"/>
  <c r="N10" i="49"/>
  <c r="C45" i="68"/>
  <c r="AS7" i="68"/>
  <c r="E9" i="48"/>
  <c r="C32" i="48" s="1"/>
  <c r="AN32" i="48" s="1"/>
  <c r="C24" i="57"/>
  <c r="AI24" i="57" s="1"/>
  <c r="AJ24" i="57" s="1"/>
  <c r="E7" i="49"/>
  <c r="E17" i="49" s="1"/>
  <c r="J17" i="49"/>
  <c r="J19" i="49"/>
  <c r="J17" i="56"/>
  <c r="C45" i="49"/>
  <c r="C48" i="49"/>
  <c r="C35" i="49"/>
  <c r="AP35" i="49" s="1"/>
  <c r="C37" i="49"/>
  <c r="AP37" i="49" s="1"/>
  <c r="C34" i="49"/>
  <c r="AP34" i="49" s="1"/>
  <c r="C47" i="49"/>
  <c r="C34" i="56"/>
  <c r="J16" i="49" l="1"/>
  <c r="D8" i="12" s="1"/>
  <c r="B18" i="56"/>
  <c r="I8" i="56"/>
  <c r="J18" i="56"/>
  <c r="N8" i="56"/>
  <c r="AS9" i="49"/>
  <c r="B19" i="49"/>
  <c r="N9" i="49"/>
  <c r="N6" i="49" s="1"/>
  <c r="C8" i="12" s="1"/>
  <c r="I7" i="56"/>
  <c r="B17" i="56"/>
  <c r="C37" i="68"/>
  <c r="AP37" i="68" s="1"/>
  <c r="E17" i="66"/>
  <c r="C25" i="66"/>
  <c r="AM25" i="66" s="1"/>
  <c r="AN25" i="66" s="1"/>
  <c r="C17" i="49"/>
  <c r="AS7" i="49"/>
  <c r="AT7" i="49" s="1"/>
  <c r="C36" i="68"/>
  <c r="AP36" i="68" s="1"/>
  <c r="AQ32" i="68" s="1"/>
  <c r="C33" i="70"/>
  <c r="AP33" i="70" s="1"/>
  <c r="AT7" i="66"/>
  <c r="C34" i="70"/>
  <c r="AP34" i="70" s="1"/>
  <c r="R32" i="70"/>
  <c r="R32" i="56"/>
  <c r="AT9" i="56"/>
  <c r="AU7" i="56" s="1"/>
  <c r="E9" i="56"/>
  <c r="E19" i="56" s="1"/>
  <c r="AT7" i="68"/>
  <c r="AT7" i="48"/>
  <c r="C17" i="68"/>
  <c r="B17" i="68"/>
  <c r="R32" i="68"/>
  <c r="R32" i="49"/>
  <c r="R31" i="56"/>
  <c r="R31" i="73"/>
  <c r="R33" i="49"/>
  <c r="R32" i="73"/>
  <c r="R33" i="66"/>
  <c r="N9" i="56"/>
  <c r="N6" i="56" s="1"/>
  <c r="AO9" i="57"/>
  <c r="E9" i="57"/>
  <c r="J19" i="57"/>
  <c r="J16" i="57" s="1"/>
  <c r="D5" i="12" s="1"/>
  <c r="I9" i="57"/>
  <c r="N9" i="57"/>
  <c r="N6" i="57" s="1"/>
  <c r="B19" i="57"/>
  <c r="J18" i="66"/>
  <c r="J16" i="66" s="1"/>
  <c r="D9" i="12" s="1"/>
  <c r="N8" i="66"/>
  <c r="N6" i="66" s="1"/>
  <c r="C9" i="12" s="1"/>
  <c r="B18" i="66"/>
  <c r="I8" i="66"/>
  <c r="C26" i="70"/>
  <c r="R35" i="73"/>
  <c r="B18" i="73"/>
  <c r="E8" i="73"/>
  <c r="E18" i="73" s="1"/>
  <c r="J18" i="73"/>
  <c r="I8" i="73"/>
  <c r="AS8" i="73"/>
  <c r="AT7" i="73" s="1"/>
  <c r="N8" i="73"/>
  <c r="N6" i="73" s="1"/>
  <c r="C12" i="12" s="1"/>
  <c r="J16" i="56"/>
  <c r="D6" i="12" s="1"/>
  <c r="C26" i="49"/>
  <c r="B19" i="56"/>
  <c r="S33" i="66"/>
  <c r="F9" i="12" s="1"/>
  <c r="S32" i="49"/>
  <c r="F8" i="12" s="1"/>
  <c r="S31" i="57"/>
  <c r="F5" i="12" s="1"/>
  <c r="N7" i="70"/>
  <c r="N6" i="70" s="1"/>
  <c r="C11" i="12" s="1"/>
  <c r="I7" i="70"/>
  <c r="J17" i="70"/>
  <c r="J16" i="70" s="1"/>
  <c r="D11" i="12" s="1"/>
  <c r="C35" i="70"/>
  <c r="AP35" i="70" s="1"/>
  <c r="AS7" i="70"/>
  <c r="AT7" i="70" s="1"/>
  <c r="E7" i="70"/>
  <c r="C32" i="70" s="1"/>
  <c r="AP32" i="70" s="1"/>
  <c r="R32" i="57"/>
  <c r="S31" i="73"/>
  <c r="F12" i="12" s="1"/>
  <c r="R37" i="56"/>
  <c r="C35" i="56"/>
  <c r="C36" i="49"/>
  <c r="AP36" i="49" s="1"/>
  <c r="C24" i="48"/>
  <c r="AL24" i="48" s="1"/>
  <c r="AP7" i="57"/>
  <c r="J16" i="68"/>
  <c r="D10" i="12" s="1"/>
  <c r="J19" i="56"/>
  <c r="R37" i="66"/>
  <c r="N6" i="48"/>
  <c r="C7" i="12" s="1"/>
  <c r="C26" i="68"/>
  <c r="S30" i="48"/>
  <c r="F7" i="12" s="1"/>
  <c r="R37" i="57"/>
  <c r="E8" i="66"/>
  <c r="C43" i="48"/>
  <c r="C30" i="48"/>
  <c r="AN30" i="48" s="1"/>
  <c r="C42" i="48"/>
  <c r="E17" i="57"/>
  <c r="C32" i="57"/>
  <c r="AK32" i="57" s="1"/>
  <c r="C33" i="56"/>
  <c r="AP33" i="56" s="1"/>
  <c r="C25" i="56"/>
  <c r="C46" i="56"/>
  <c r="C44" i="56"/>
  <c r="E18" i="56"/>
  <c r="C45" i="56"/>
  <c r="C24" i="49"/>
  <c r="AN24" i="49" s="1"/>
  <c r="AO24" i="49" s="1"/>
  <c r="C31" i="48"/>
  <c r="AN31" i="48" s="1"/>
  <c r="C41" i="48"/>
  <c r="C25" i="70"/>
  <c r="E17" i="48"/>
  <c r="C24" i="56"/>
  <c r="AN24" i="56" s="1"/>
  <c r="AO24" i="56" s="1"/>
  <c r="C31" i="56"/>
  <c r="AP31" i="56" s="1"/>
  <c r="C32" i="56"/>
  <c r="AP32" i="56" s="1"/>
  <c r="C47" i="56"/>
  <c r="E17" i="56"/>
  <c r="E19" i="66"/>
  <c r="C28" i="66"/>
  <c r="AM28" i="66" s="1"/>
  <c r="AN28" i="66" s="1"/>
  <c r="D7" i="12"/>
  <c r="AQ7" i="48"/>
  <c r="AR7" i="48" s="1"/>
  <c r="J15" i="48" s="1"/>
  <c r="AM24" i="48"/>
  <c r="C23" i="48"/>
  <c r="AL23" i="48" s="1"/>
  <c r="C33" i="49"/>
  <c r="AP33" i="49" s="1"/>
  <c r="C32" i="49"/>
  <c r="AP32" i="49" s="1"/>
  <c r="C44" i="48"/>
  <c r="C45" i="57"/>
  <c r="C36" i="66"/>
  <c r="AP36" i="66" s="1"/>
  <c r="E18" i="48"/>
  <c r="E16" i="48"/>
  <c r="C31" i="57"/>
  <c r="AK31" i="57" s="1"/>
  <c r="J16" i="73" l="1"/>
  <c r="D12" i="12" s="1"/>
  <c r="AM23" i="48"/>
  <c r="E18" i="66"/>
  <c r="C47" i="66"/>
  <c r="C35" i="66"/>
  <c r="AP35" i="66" s="1"/>
  <c r="AQ33" i="66" s="1"/>
  <c r="C46" i="66"/>
  <c r="E19" i="57"/>
  <c r="C25" i="57"/>
  <c r="C34" i="57"/>
  <c r="AK34" i="57" s="1"/>
  <c r="C33" i="57"/>
  <c r="AK33" i="57" s="1"/>
  <c r="C31" i="70"/>
  <c r="AP31" i="70" s="1"/>
  <c r="AQ31" i="70" s="1"/>
  <c r="E17" i="70"/>
  <c r="C24" i="70"/>
  <c r="AN24" i="70" s="1"/>
  <c r="AO24" i="70" s="1"/>
  <c r="C36" i="56"/>
  <c r="AP36" i="56" s="1"/>
  <c r="AQ31" i="56" s="1"/>
  <c r="C25" i="73"/>
  <c r="C32" i="73" s="1"/>
  <c r="AP32" i="73" s="1"/>
  <c r="AQ31" i="73" s="1"/>
  <c r="C27" i="66"/>
  <c r="AM27" i="66" s="1"/>
  <c r="AN27" i="66" s="1"/>
  <c r="AQ32" i="49"/>
  <c r="C26" i="56"/>
  <c r="AO30" i="48"/>
  <c r="AL31" i="57" l="1"/>
  <c r="G24" i="70"/>
</calcChain>
</file>

<file path=xl/sharedStrings.xml><?xml version="1.0" encoding="utf-8"?>
<sst xmlns="http://schemas.openxmlformats.org/spreadsheetml/2006/main" count="1625" uniqueCount="466">
  <si>
    <t>PROPONENTE</t>
  </si>
  <si>
    <t>NUMERO</t>
  </si>
  <si>
    <t>OBSERVACIONES</t>
  </si>
  <si>
    <t>NÚMERO</t>
  </si>
  <si>
    <t>PROPUESTA No.</t>
  </si>
  <si>
    <t>PROFESIONAL</t>
  </si>
  <si>
    <t>ING. CIVIL</t>
  </si>
  <si>
    <t>ESPECIALIZACIÓN - POSTGRADO</t>
  </si>
  <si>
    <t>ING. VIAS Y TRANSPORTE</t>
  </si>
  <si>
    <t>ESPECIALISTA AMBIENTAL</t>
  </si>
  <si>
    <t>TOPOGRAFO</t>
  </si>
  <si>
    <t>INSPECTOR</t>
  </si>
  <si>
    <t>DATOS BASICOS PROCESO</t>
  </si>
  <si>
    <t>DEPENDENCIA</t>
  </si>
  <si>
    <t>NUMERO DE PROPUESTAS A EVALUAR</t>
  </si>
  <si>
    <t xml:space="preserve">NUMERO DEL PROCESO </t>
  </si>
  <si>
    <t>OBJETO DE LA CONTRATACION</t>
  </si>
  <si>
    <t>OBJETO DE EVALUACION EXPERIENCIA GENERAL</t>
  </si>
  <si>
    <t>interventoría</t>
  </si>
  <si>
    <t>OBJETO DE EVALUACION EXPERIENCIA ESPECÍFICA</t>
  </si>
  <si>
    <t>consultoría</t>
  </si>
  <si>
    <t>FECHA_DE_CIERRE_CALIFICACION</t>
  </si>
  <si>
    <t>PROFESIONALES_Y_GRUPO_DE_TRABAJO</t>
  </si>
  <si>
    <t>ID</t>
  </si>
  <si>
    <t>CARGOS</t>
  </si>
  <si>
    <t>EXPERIENCIA GENERAL (MESES)</t>
  </si>
  <si>
    <t>EXPERIENCIA ESPECIFICA (MESES)</t>
  </si>
  <si>
    <t>CARGO_1</t>
  </si>
  <si>
    <t>DIRECTOR</t>
  </si>
  <si>
    <t>CARGO_2</t>
  </si>
  <si>
    <t>RESIDENTE</t>
  </si>
  <si>
    <t>PROFESIONES Y TITULOS DEL GRUPO DE TRABAJO DE ACUERDO A PLIEGOS Y REQUERIMIENTOS TECNICOS</t>
  </si>
  <si>
    <t>OTRA NO VALIDA</t>
  </si>
  <si>
    <t>PONDERACION DE LOS PROFESIONALES</t>
  </si>
  <si>
    <t>A. PONDEARACION ACADEMICA</t>
  </si>
  <si>
    <t>FORMACION ACADEMICA</t>
  </si>
  <si>
    <t>PUNTAJE</t>
  </si>
  <si>
    <t>RANGO DE PUNTAJE</t>
  </si>
  <si>
    <t>PREGRADO</t>
  </si>
  <si>
    <t>MESTRIA , DOCTORADO O SUPERIOR</t>
  </si>
  <si>
    <t>B. PONDEARACION POR EXPERIENCIA ESPECIFICA</t>
  </si>
  <si>
    <t>TIEMPO DE EXPERIENCIA</t>
  </si>
  <si>
    <t>PUNTAJE POR ESPERIENCIA</t>
  </si>
  <si>
    <t>ENTRE 7 - 10 AÑOS</t>
  </si>
  <si>
    <t>MAS DE 10 AÑOS</t>
  </si>
  <si>
    <t>ENTRE 3 - 6 AÑOS</t>
  </si>
  <si>
    <t>MAS DE 6 AÑOS</t>
  </si>
  <si>
    <t>Nota:</t>
  </si>
  <si>
    <t>Recuerde llenar toda la información.</t>
  </si>
  <si>
    <t>Verificar si los rangos de tiempo en la experiencia especifica corresponde a los establecidos en el cuadro de arriba (B. Ponderacion por experiencia especifica. EN ESTE CASO ES NECESARIO MODIFICAR ALGUNAS FORMULAS POR FAVOR COMUNICARME PARA SU CORRESPONDI</t>
  </si>
  <si>
    <t>Verificar si los profesionales requeridos tienen requisitos adicionales los cuales se incluyen en el cuadro de profesionales, como se observa a continuación.</t>
  </si>
  <si>
    <t>En el caso de no existir requisitos adicionales borrar estos campos.</t>
  </si>
  <si>
    <t>DATOS DE ENTRADA PARA LA CALIFICACION DE LA LICITACION ICCU-07-09</t>
  </si>
  <si>
    <t>SUBGERENCIA  DE INFRAESTRUCTURA</t>
  </si>
  <si>
    <t>ICCU-07-09</t>
  </si>
  <si>
    <t>PAVIMENTACION DE 455 MTS DE LA AVENIDA INDUSTRIAL DEL MUNICIPIO DE ZIPAQUIRA CALZADA SUR.</t>
  </si>
  <si>
    <t>CARGO_3</t>
  </si>
  <si>
    <t>CARGO_4</t>
  </si>
  <si>
    <t>CARGO_5</t>
  </si>
  <si>
    <t>CARGO_6</t>
  </si>
  <si>
    <t>ESPECIALISTA EN VIAS O PAVIMENTOS</t>
  </si>
  <si>
    <t>INGENIERO AMBIENTAL</t>
  </si>
  <si>
    <t>ESPECIALIZACION ADMINISTRACION DE OBRA, O GERENCIA DE PROYECTOS, O ALTA GERENCIA</t>
  </si>
  <si>
    <t>ESPECIALISTA EN PAVIMENTOS</t>
  </si>
  <si>
    <t>ING. AMBIENTAL</t>
  </si>
  <si>
    <t>NINGUNO</t>
  </si>
  <si>
    <t>EXPERIENCIA PROBABLE</t>
  </si>
  <si>
    <t>CONDICION DEFINITIVA</t>
  </si>
  <si>
    <t>OBLIGADO (O) O EXENTO (E) DE RUP</t>
  </si>
  <si>
    <t>NUMERO PROPUESTA</t>
  </si>
  <si>
    <t>Contrato No.</t>
  </si>
  <si>
    <t>PROPONENTE / INTEGRANTES DEL CONSORCIO</t>
  </si>
  <si>
    <t>%</t>
  </si>
  <si>
    <t>Condición integrante</t>
  </si>
  <si>
    <t>A</t>
  </si>
  <si>
    <t>B</t>
  </si>
  <si>
    <t>CUMPLE</t>
  </si>
  <si>
    <t>O</t>
  </si>
  <si>
    <t>SI</t>
  </si>
  <si>
    <t>E</t>
  </si>
  <si>
    <t>Proponente</t>
  </si>
  <si>
    <t>Integrantes</t>
  </si>
  <si>
    <t>Nacionalidad</t>
  </si>
  <si>
    <t>Participación</t>
  </si>
  <si>
    <t>Propuesta No.</t>
  </si>
  <si>
    <t>No. Integrante</t>
  </si>
  <si>
    <t>1A</t>
  </si>
  <si>
    <t>2A</t>
  </si>
  <si>
    <t>1B</t>
  </si>
  <si>
    <t>1C</t>
  </si>
  <si>
    <t>2B</t>
  </si>
  <si>
    <t>2C</t>
  </si>
  <si>
    <t>3A</t>
  </si>
  <si>
    <t>3B</t>
  </si>
  <si>
    <t>3C</t>
  </si>
  <si>
    <t>4A</t>
  </si>
  <si>
    <t>4B</t>
  </si>
  <si>
    <t>4C</t>
  </si>
  <si>
    <t>5A</t>
  </si>
  <si>
    <t>5B</t>
  </si>
  <si>
    <t>5C</t>
  </si>
  <si>
    <t>6A</t>
  </si>
  <si>
    <t>6B</t>
  </si>
  <si>
    <t>7A</t>
  </si>
  <si>
    <t>7B</t>
  </si>
  <si>
    <t>7C</t>
  </si>
  <si>
    <t>FOLIO DE LA PROPUESTA DONDE SE VERIFICA LA CONDICION</t>
  </si>
  <si>
    <t>PUNTAJE EXPERIENCIA PROBABLE RUP</t>
  </si>
  <si>
    <t>N.A.</t>
  </si>
  <si>
    <t>VERIFICACION ACTIVIDAD CONSULTOR</t>
  </si>
  <si>
    <t>N.A</t>
  </si>
  <si>
    <t>NO</t>
  </si>
  <si>
    <t>INTEGRANTE QUE APORTA EXPERIENCIA</t>
  </si>
  <si>
    <t>Condicion integrante</t>
  </si>
  <si>
    <t>OBJETO</t>
  </si>
  <si>
    <t>ENTIDAD CONTRATANTE</t>
  </si>
  <si>
    <t>Porcentaje de participacion en la estructura plural anterior</t>
  </si>
  <si>
    <t>Fecha de inicio (dd/mm/aaa)</t>
  </si>
  <si>
    <t>Fecha de finalizacion (dd/mm/aaa)</t>
  </si>
  <si>
    <t>Valor del contrato SMMLV</t>
  </si>
  <si>
    <t>PENDIENTE</t>
  </si>
  <si>
    <t>1.1 CLASIFICACION REQUERIDA  (RUP O FORMATO 1)</t>
  </si>
  <si>
    <t>HABIL</t>
  </si>
  <si>
    <t>INTEGRANTE LIDER MINIMO 60% DE PARTICIPACION</t>
  </si>
  <si>
    <t xml:space="preserve">APLICA RUP O APLICA FORMATO 2 </t>
  </si>
  <si>
    <t>1.2 EXPERIENCIA PROBABLE (RUP)</t>
  </si>
  <si>
    <t>CONTRATO INICIADO Y TERMINADO/EJECUTADO</t>
  </si>
  <si>
    <t>CONDICION DE HABILIDAD (AL MENOS UN CONTRATO APORTADO QUE CUMPLA REQUISITOS 4.3.2 INCISO a))</t>
  </si>
  <si>
    <t>PAIS</t>
  </si>
  <si>
    <t>MÓDULOS</t>
  </si>
  <si>
    <t>PRESUPUESTO</t>
  </si>
  <si>
    <t>EXPERIENCIA GENERAL REQUISITOS</t>
  </si>
  <si>
    <t>SMMLV 2012</t>
  </si>
  <si>
    <t>COLOMBIA</t>
  </si>
  <si>
    <t>CLASIFICACION RUP O FORMATO 2 NO OBLIGADOS A RUP</t>
  </si>
  <si>
    <t>1.1 VERIFICACIÓN CLASIFICACION DE LOS PROPONENTES (RUP O FORMATO 2)</t>
  </si>
  <si>
    <t>INCO</t>
  </si>
  <si>
    <t>SMMLV 2012 EXPERIENCIA ESPECIFICA</t>
  </si>
  <si>
    <t xml:space="preserve">LONGITUD ORIGEN - DESTINO (Km.) </t>
  </si>
  <si>
    <t>Longitud vía Concesionada (Km)</t>
  </si>
  <si>
    <t>PUNTAJE POR CONTRATO DE ACUERDO AL NUMERAL 5.1.1.2</t>
  </si>
  <si>
    <t>ITEM</t>
  </si>
  <si>
    <t>CONTRATO PRINCIPAL N°</t>
  </si>
  <si>
    <t>Contratos Principales</t>
  </si>
  <si>
    <t>PUNTAJE MÁXIMO TOTAL</t>
  </si>
  <si>
    <t>2. ASIGNACION DE PUNTAJES COMPONENTE TECNICO (SOBRE No. 1A)</t>
  </si>
  <si>
    <t>1. VERIFICACION REQUISITOS HABILITANTES COMPONENTE TECNICO (SOBRE No.1)</t>
  </si>
  <si>
    <t xml:space="preserve"> CUMPLE</t>
  </si>
  <si>
    <t>VERIFICACION RUP: ESPECIALIDAD 10, GRUPO 4 / F2: GESTIÓN DE PROYECTOS</t>
  </si>
  <si>
    <t xml:space="preserve">APOYO A LA INDUSTRIA NACIONAL Y RECIPROCIDAD </t>
  </si>
  <si>
    <t>APOYO A LA INDUSTRIA NACIONAL Y RECIPROCIDAD</t>
  </si>
  <si>
    <t>1.3.A EXPERIENCIA GENERAL EN "CONSULTORIA DE SUPERVISION O SUPERVISION O INTERVENTORIA DE INFRAESTRUCTURA DE TRANSPORTE VIAL"  (FORMATO 6, MODULO 2)</t>
  </si>
  <si>
    <t>2.1 EXPERIENCIA ESPECIFICA (FORMATO 7) MODULO 2</t>
  </si>
  <si>
    <t>6C</t>
  </si>
  <si>
    <t>B &amp; C S.A.</t>
  </si>
  <si>
    <t>Colombiana</t>
  </si>
  <si>
    <t>ICEACSA CONSULTORES SUCURSAL COLOMBIA</t>
  </si>
  <si>
    <t>COPEBA LTDA</t>
  </si>
  <si>
    <t>INTERVENTORIAS Y DISEÑOS S.A.</t>
  </si>
  <si>
    <t>JASEN CONSULTORES S.A.S.</t>
  </si>
  <si>
    <t>SUPERING S.A.S.</t>
  </si>
  <si>
    <t>CONDICION AL MENOS UNO DE LOS PROPONENTES &gt;10 AÑOS EN CONSULTORIA</t>
  </si>
  <si>
    <t>VERIFICACION RUP: ESPECIALIDAD 7, GRUPO 2 / F2: CONSULTORÍA INFRAESTRUCTURA PARA EL TRANSPORTE VIAL o CIIU VERSION 3.1 (7421) O VERSION 4 (7110)</t>
  </si>
  <si>
    <t>CIIU 7110</t>
  </si>
  <si>
    <t>Instituto Nacional de Vías - INVIAS</t>
  </si>
  <si>
    <t xml:space="preserve">VERIFICACION RUP: ESPECIALIDAD 7, GRUPO 2 / F2: CONSULTORÍA INFRAESTRUCTURA PARA EL TRANSPORTE VIAL o CIIU VERSION 3.1 (7421) O VERSION 4 (7110)
</t>
  </si>
  <si>
    <t>Interventoría técnica, administrativa, financiera y ambiental al contrato de obra construcción y pavimentación de la carretera Badillo (Cesar) - San Juan de Cesar (Guajira), sector PR38+250 - PR52+674, ruta 49.</t>
  </si>
  <si>
    <t>Instituto para el Desarrollo de Antioquia - IDEA</t>
  </si>
  <si>
    <t>SMMLV 2013</t>
  </si>
  <si>
    <t>Módulo 1</t>
  </si>
  <si>
    <t>Contrato de Concesión No.</t>
  </si>
  <si>
    <t>Proyecto</t>
  </si>
  <si>
    <t>Interventoria para</t>
  </si>
  <si>
    <t>Longitud (Km)</t>
  </si>
  <si>
    <t>Presupuesto</t>
  </si>
  <si>
    <t>Plazo (meses)</t>
  </si>
  <si>
    <t>Experiencia Probable</t>
  </si>
  <si>
    <t>Mínima 10 años de actividad en consultoría o interventoría de procesos de infraestructura</t>
  </si>
  <si>
    <t>Experiencia General</t>
  </si>
  <si>
    <t xml:space="preserve">Todos y cada uno de los miembros de las estructuras plurales deberán acreditar a través de la presentación de un (1) contrato de consultoría de supervisón o supervisión o interventoría en proyectos de infraestructura de transporte vial. </t>
  </si>
  <si>
    <t>Experiencia General Cuantificada</t>
  </si>
  <si>
    <t>Líder (60%) en máx (2) contratos</t>
  </si>
  <si>
    <t>C/ cto min 40% del monto acreditar</t>
  </si>
  <si>
    <t>No líder (40%) en máx (4) contratos</t>
  </si>
  <si>
    <t>Exp Específica</t>
  </si>
  <si>
    <t>Plazo min 1 año comprendido entre fecha de inicio y terminación del cto</t>
  </si>
  <si>
    <t xml:space="preserve">Valor para cada cto </t>
  </si>
  <si>
    <t>Longitud min (O-D) en max 4 ctos</t>
  </si>
  <si>
    <t>SMMLV</t>
  </si>
  <si>
    <t xml:space="preserve">Verificación condición de Habilidad Requisito 4.3.2.1 literal a) </t>
  </si>
  <si>
    <t>REQUISITOS EXPERIENCIA ESPECIFICA NUMERAL 5.1.1.1 INCISO b. (CUMPLE O NO CUMPLE)</t>
  </si>
  <si>
    <t>REQUISITOS EXPERIENCIA ESPECIFICA NUMERAL 5.1.1.1 INCISO b.
(CUMPLE O NO CUMPLE)</t>
  </si>
  <si>
    <t>ESPECIFICACIONES TECNICAS NUMERAL 5.1.1.1  INCISOS a) y c) (CUMPLE O NO CUMPLE)</t>
  </si>
  <si>
    <t>ESPECIFICACIONES TECNICAS NUMERAL 5.1.1.1  INCISO d.(CUMPLE O NO CUMPLE)</t>
  </si>
  <si>
    <t>ESPECIFICACIONES TECNICAS NUMERAL 5.1.1.1  INCISO d.
(CUMPLE O NO CUMPLE)</t>
  </si>
  <si>
    <t>ESPECIFICACIONES TECNICAS NUMERAL 5.1.1.1  INCISOS a) y c) 
(CUMPLE O NO CUMPLE)</t>
  </si>
  <si>
    <t>CONDICION DE HABILIDAD (Todos los integrantes deben aportar un contrato que cumpla requisitos 4.3.2 inciso a))</t>
  </si>
  <si>
    <t>REQUISITOS EXPERIENCIA ESPECIFICA NUMERAL 5.1.1.1 INCISO b. 
(CUMPLE O NO CUMPLE)</t>
  </si>
  <si>
    <t>4 A 7</t>
  </si>
  <si>
    <t>Interventoría Técnica, Financiera y Operativa en las etapas de Preconstrucción y construcción del contrato de concesión No. 0377 de 2002, Carretera Briceño - Tunja - Sogamoso</t>
  </si>
  <si>
    <t>Instituto Nacional de Vias - INVIAS</t>
  </si>
  <si>
    <t>ANI (ANTES INCO)</t>
  </si>
  <si>
    <t>Interventoría Técnica, Operativa, Financiera y Administrativa al contrato de concesión No. 044 de 1993 para la rehabilitación, mejoramiento y operación de la carretera Ciénaga - Barranquilla</t>
  </si>
  <si>
    <t>Secretaría de Infraestructura - Departamento del Magdalena</t>
  </si>
  <si>
    <t>ANI (antes INCO)</t>
  </si>
  <si>
    <t>Interventoría Técnica de la Concesión de los sectores Rio Palomino - Riohacha y Riohacha -Paraguachon en su etapa de construcción.</t>
  </si>
  <si>
    <t>MARTHA CECILIA ORDOÑEZ OCAMPO</t>
  </si>
  <si>
    <t>4D</t>
  </si>
  <si>
    <t>BRAIN INGENIERÍA S.A.S.</t>
  </si>
  <si>
    <t>SERVINC LTDA</t>
  </si>
  <si>
    <t>8A</t>
  </si>
  <si>
    <t>8B</t>
  </si>
  <si>
    <t>8C</t>
  </si>
  <si>
    <t>1.3.A EXPERIENCIA GENERAL EN "CONSULTORIA DE SUPERVISION O SUPERVISION O INTERVENTORIA DE INFRAESTRUCTURA DE TRANSPORTE VIAL"  (FORMATO 6)</t>
  </si>
  <si>
    <t xml:space="preserve">1.3.B EXPERIENCIA GENERAL CUANTIFICADA EN "CONSULTORIA DE SUPERVISION O SUPERVISION O INTERVENTORIA DE INFRAESTRUCTURA DE TRANSPORTE VIAL"  (FORMATO 6) </t>
  </si>
  <si>
    <t xml:space="preserve">CONDICION DE CUMPLIMIENTO (Sumatoria Longitud Minima 82,4 Km.) 
</t>
  </si>
  <si>
    <t>1.3.A EXPERIENCIA GENERAL EN "CONSULTORIA DE SUPERVISION O SUPERVISION O INTERVENTORIA DE INFRAESTRUCTURA DE TRANSPORTE VIAL"  FORMATO 6</t>
  </si>
  <si>
    <t>1.3.B EXPERIENCIA GENERAL CUANTIFICADA EN "CONSULTORIA DE SUPERVISION O SUPERVISION O INTERVENTORIA DE INFRAESTRUCTURA DE TRANSPORTE VIAL"  (FORMATO 6)</t>
  </si>
  <si>
    <t xml:space="preserve">CONDICION DE CUMPLIMIENTO
</t>
  </si>
  <si>
    <t>CONDICION DE CUMPLIMIENTO</t>
  </si>
  <si>
    <t>2.1 EXPERIENCIA ESPECIFICA (FORMATO 7)</t>
  </si>
  <si>
    <t>Contrato No. 1330: Asistencia Técnica para el Control y Vigilancia de Obra (Inter ventoría) y Coordinación de Seguridad y Salud de las obras de Construcción de la Autovía AG-64 Ferrol-Vilalba. Tramo: Igreixafeita-Espiñaredo</t>
  </si>
  <si>
    <t>ESPAÑA</t>
  </si>
  <si>
    <t>Xunta de Galicia - Conselleria de Medio Ambiente, Territorio e Infraestructuras</t>
  </si>
  <si>
    <t>Contrato No. 1532: Consultoría y asistemcia para el Control y Vigilancia de las obras: Autovía A-8 del Cantábrico. Tramo: Mondoñedo-Lorenzana</t>
  </si>
  <si>
    <t>Ministerio de Fomento - Secretaria de Estado de Planificación e Infraestructuras</t>
  </si>
  <si>
    <t>Contrato No. 062 de 2005: Interventoría técnica, ambiental, legal, administrativa, predial, financiera, y operativa en la etapa de operación del contrato de concesión No. 0849 de 1995 desarrollo vial carretera Neiva – Espinal-Girardot.</t>
  </si>
  <si>
    <t>Instituto Nacional de Concesiones - INCO</t>
  </si>
  <si>
    <t>Contrato No. 1956 de 2008: Interventoría para el mejoramiento y mantenimiento de las carreteras Carreto - Calamar - Ponedera - Palmar de Varela, códigos 2515 y 2516, Sabanalarga - Barranquilla, código 9006 y Carmen de Bolívar - Zambrano - Plato - Pueblo Nuevo - Bosconia, códigos 8001, 8002 y 8003, módulo No. 5</t>
  </si>
  <si>
    <t>Ministerio de Fomento - Secretaría General de Infraestructuras</t>
  </si>
  <si>
    <t>Sociedad Autoestrada Alto de Santo Domingo - Ourense (ACEOUSA)</t>
  </si>
  <si>
    <t>Contrato No. 507: Asistencia Técnica para el Control y vigilancia (Interventoría) de las obras: Autopista del Atlántico, A-9. Tramo: Rande - Puxeiros  y Fene  - Guisamo. Provincia de A Coruña</t>
  </si>
  <si>
    <t>Contrato No. 1048: Asistencia para el Control y Vigilancia (Interventoría) de las obras:Autopista del Atlántico, A-9. TRamo: Rebullón-Tui-Fene-Ferrol</t>
  </si>
  <si>
    <t>IDU</t>
  </si>
  <si>
    <t>Lider: Máximo 2 contrato 60% valor  de los pliegos.
No líder: Máximo 4 contratos 40% valor de los pliegos</t>
  </si>
  <si>
    <t>Interventoría de las obras de construcción y pavimentación de la vía alterna interna a Buenaventura, sector Viaducto K7 - Interseccion Citronela, Ruta 40 Tramo 4001.</t>
  </si>
  <si>
    <t>Interventoría Tècnica y Administrativa para las obras de Construcción y Pavimentación de la Carretera Falan - Palocabildo, Líbano - Murillo y Ambalema - Palobayo.</t>
  </si>
  <si>
    <t>Instituto Nacional de Vías - INVÍAS</t>
  </si>
  <si>
    <t>Departamento del Tolima - Secretaría de Infraestructura del Transporte</t>
  </si>
  <si>
    <t>CONTRATO No. SOP-V-264-2007
Interventoría Técnica, Socio ambiental, Administrativa, Jurídica y Financiera para un periodo de la etapa de operación del Contrato de Concesión No. 01 de 1996, sus contratos adicionales y obras complementarias correspondientes al proyecto Chia - Mosquera - Girardot Ramal a Soacha.</t>
  </si>
  <si>
    <t>CONTRATO No. IDU-182 de 2008 Interventoría Técnica, Administrativa, Financiera y Social Ambiental para la Construcción de accesos a barrios y pavimentos locales, programa de pavimentos locales Grupo II: Localidades de Antonio Nariño, Ciudad Bolívar, Los Mártires, Santafe y Usme en Bogotá D.C.</t>
  </si>
  <si>
    <t xml:space="preserve">Instituto de Infraestructura y Concesiones de Cundinamarca ICCU </t>
  </si>
  <si>
    <t>Instituto de Desarrollo Urbano - IDU</t>
  </si>
  <si>
    <t>Lider: Máximo 2 contrato 60% valor pliego
No líder: Máximo 4 contratos 40% valor pliego</t>
  </si>
  <si>
    <t xml:space="preserve">Interventoría Técnica, Administrativa, Financiera, Social, Ambiental y Legal al contrato de Concesión No. 146 de 2003, para la adecuación de la Troncal Avenida Suba al Sistema Transmilenio, para el tramo No.2; comprendido entre la calle 127 A y la Av Ciudad de Cali en Bogotá D.C. </t>
  </si>
  <si>
    <t>Interventoria Técnica, Socio-Ambiental, jurídica y Financiera para un periodo d ela etapa de operación y para las actividades de la etapa preoperativa de las obras adicionales de las concesiones viales del departamento de Cundinamarca</t>
  </si>
  <si>
    <t>Colombia</t>
  </si>
  <si>
    <t>Lider: Máximo 2 contrato 60% valor pliego.
No líder: Máximo 4 contratos 40% valor pliego.</t>
  </si>
  <si>
    <t>Lider: Máximo 2 contrato 60% valor de los pliegos.
No líder: Máximo 4 contratos 40% valor pliegos.</t>
  </si>
  <si>
    <t>Lider: Máximo 2 contrato 60% valor pliegos.
No líder: Máximo 4 contratos 40% valor pliegos.</t>
  </si>
  <si>
    <t>INTERVENTORÍA DE LA CONSTRUCCIÓN Y PAVIMENTACIÓN DEL SECTOR QUEBRADA LAS DORADAS - DEPRESIÓN EL VERGEL - ORRAPIHUASI DE LA CARRETERA ALTAMIRA - FLORENCIA</t>
  </si>
  <si>
    <t>Interventoría Técnica, Financiera, Operativa, Predial, Socio - Ambiental y Legal del Proyecto de Concesión Vial No. 503 de 1994. "Cartagena - Barranquilla"</t>
  </si>
  <si>
    <t>hasta el año 2013.</t>
  </si>
  <si>
    <t>Año</t>
  </si>
  <si>
    <t>Salario mínimo</t>
  </si>
  <si>
    <t>Auxilio de transporte</t>
  </si>
  <si>
    <t>Lider: Máximo 2 contrato 60% valor ppto.
No líder: Máximo 4 contratos 40% valor ppto</t>
  </si>
  <si>
    <t>AÑOS EXPERIENCIA PROBABLE RUP</t>
  </si>
  <si>
    <t>Interventoría a la rehabilitación de la vía La Renta - San Vicente sector K26+000 al K44+000 del municipio de San Vicente de Chucurí, Departamento de Santander</t>
  </si>
  <si>
    <t>3 A 6</t>
  </si>
  <si>
    <t>Lider: Máximo 2 contrato 60% valor Ppto.
No líder: Máximo 4 contratos 40% valor ppto</t>
  </si>
  <si>
    <t>109 a 112</t>
  </si>
  <si>
    <t>INGENIERO INDEPENDIENTE (SUPERVISIÓN) PARA LA CONSTRUCCIÓN DE LA NUEVA AUTOPISTA CONCESIONADA AMOZOC - PEROTE EN LOS ESTADOS DE PUEBLA, TLAXCALA Y VERACRUZ</t>
  </si>
  <si>
    <t>MEXICO</t>
  </si>
  <si>
    <t xml:space="preserve">SECRETARIA DE COMUNICACIONES Y TRANSPORTES DE INSFRAESTRUCTURA </t>
  </si>
  <si>
    <t>NO LIDER</t>
  </si>
  <si>
    <t>Ingeniero Independiente (Supervisión) para la construcción de la nueva autopista concesionada Amozoc - Perote en los Estados de Puebla, Tlaxcala y Veracruz</t>
  </si>
  <si>
    <t>Ingeniero Independiente (Supervisión) de la Operación, Mantenimiento, Conservación, Rehabilitación y Reconstrucción de 9 Autopistas concesionadas de la Red Vial Principal del Estado de Chihuahua</t>
  </si>
  <si>
    <t xml:space="preserve">GOBIERNO DEL ESTADO DE CHIHUAHUA - SECRETARIA DE COMUNICACIONES Y OBRAS PUBLICAS </t>
  </si>
  <si>
    <t>Interventoría (Supervision) Técnica, Operativa y Financiera en la Etapa de Construcción del Contrato de Concesión 0113 de 1997 Carretera Armenia - Pereira - Manizales</t>
  </si>
  <si>
    <t>Ingeniero Independiente (Supervisión)   para la Construcción de la nueva autopista concesionada Cerritos - Entronque a Tula en el Estado de San Luis Potosí</t>
  </si>
  <si>
    <t>GOBIERNO DEL ESTADO DE SAN LUIS POTOSI</t>
  </si>
  <si>
    <t>Lider: Máximo 2 contrato 60% valor ppto.
No líder: Máximo 4 contratos 40% valor ppto.</t>
  </si>
  <si>
    <t>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Municipio de Bucaramanga.  Contrato 001 de 2006.  Enero 23 de 2006</t>
  </si>
  <si>
    <t>Interventoría Técnica, Administrativa, Legal, Financiera y Ambiental para construcción de cuatro tramos de infraestructura del sistema integrado de transporte masivo para el Área Metropolitana de Bucaramanga, sobre la carrera quince entre la virgen y la Avenida Quebradaseca, sobre la autopista Bucaramanga – Floridablanca, entre el puente provenza y el puente vehicular de cañaveral y entre el puente vehicular de cañaveral y papi quiero piña, sobre la carrera veintisiete entre la UIS y la Avenida Quebrada Seca y el par vial calle 10-calle 11 del Municipio de Bucaramanga.  Contrato No. 002 de 2006.  Agosto 23 de 2006.</t>
  </si>
  <si>
    <t>METROLÍNEA S.A.</t>
  </si>
  <si>
    <t>EJECUTADO</t>
  </si>
  <si>
    <t>006 - 2007</t>
  </si>
  <si>
    <t>CONCURSO DE MÉRITOS VJ-VGC-CM-017-2013</t>
  </si>
  <si>
    <t>Area Metropolitana de Cucuta</t>
  </si>
  <si>
    <t xml:space="preserve">Construcción </t>
  </si>
  <si>
    <t xml:space="preserve">Objeto: Supervisión o interventoría de concesiones de proyectos de infraestructura de transporte vial. </t>
  </si>
  <si>
    <t>EDINTER SAS</t>
  </si>
  <si>
    <t>GEOTECNICA Y CIMIENTOS "INGEOCIM LTDA"</t>
  </si>
  <si>
    <t>CONSULTORES TECNICOS Y ECONOMICOS SA - CONSULTECNICOS</t>
  </si>
  <si>
    <t>JOYCO SAS</t>
  </si>
  <si>
    <t>CIVILTEC INGENIEROS LTDA</t>
  </si>
  <si>
    <t>JORGE PIDDO  SUCURSAL COLOMBIA</t>
  </si>
  <si>
    <t>INTERSA S.A.</t>
  </si>
  <si>
    <t>SIGA INGENIERIA SAS</t>
  </si>
  <si>
    <t>INTERPRO SAS</t>
  </si>
  <si>
    <t>SUPERING SAS</t>
  </si>
  <si>
    <t>RIO ARQUITECTURA E INGENIERIA SA</t>
  </si>
  <si>
    <t>PROYECTOS INTERVENTORIAS LTDA "PI LTDA"</t>
  </si>
  <si>
    <t>CONSORCIO EPSILON CUCUTA</t>
  </si>
  <si>
    <t>CONSULTOR DE INGENIERA CIVIL SA</t>
  </si>
  <si>
    <t>SILVA CARREÑO &amp; ASOCIADOS SAS</t>
  </si>
  <si>
    <t>LA VIALIDAD LTDA</t>
  </si>
  <si>
    <t>JOSE WILMER CHILITO RIVADENEIRA</t>
  </si>
  <si>
    <t>CONSORCIO CSLVC</t>
  </si>
  <si>
    <t>CONSORCIO INTERCON-APM</t>
  </si>
  <si>
    <t>CONSORCIO CONCESION VIAL NORTE SANTANDER</t>
  </si>
  <si>
    <t>CONSORCIO INTERCONCESIONES 2014</t>
  </si>
  <si>
    <t>CONSORCIO NORTE DE COLOMBIA</t>
  </si>
  <si>
    <t>CONSORCIO VIAL NS</t>
  </si>
  <si>
    <t>DISEÑOS INTERVENTORIAS Y SERVICIOS - DIS S.A.S</t>
  </si>
  <si>
    <t>Contrato No. 1121 de 1995. Estudios de rehabilitación y construcción de la nueva calzada por concesión Briceño - Tunja - Sogamoso</t>
  </si>
  <si>
    <t>96 a 110</t>
  </si>
  <si>
    <t>112 a 149</t>
  </si>
  <si>
    <t>Gobernación de Santander</t>
  </si>
  <si>
    <t>158 a 167</t>
  </si>
  <si>
    <t>Interventoria técnica, financiera y operativa en la etapa de preconstrucción y construccion del contrato de concesión GC-040-2004, Concesión Bogotá - Girardot.</t>
  </si>
  <si>
    <t>169 a 177</t>
  </si>
  <si>
    <t>Interventoria al ajuste y complementacion a los estudios y diseños y construcción de la doble calzada de la carretera Buenaventura - Loboguerreo, Sector Triana PR39+0700 - CISNERO</t>
  </si>
  <si>
    <t>179 a 229</t>
  </si>
  <si>
    <t xml:space="preserve">CONDICION DE CUMPLIMIENTO (Sumatoria Longitud Minima 82,04 Km.) 
</t>
  </si>
  <si>
    <t>5-12</t>
  </si>
  <si>
    <t>14 a 46</t>
  </si>
  <si>
    <t>48 a 70</t>
  </si>
  <si>
    <t>Interventoría Técnica y Financiera en la etapa de Operación del Contrato de Concesión No. 0664 de 1994, Proyecto Desarrollo vial del Norte</t>
  </si>
  <si>
    <t>72 a 89</t>
  </si>
  <si>
    <t>81 a 83</t>
  </si>
  <si>
    <t>85 a 88</t>
  </si>
  <si>
    <t>91 a 125</t>
  </si>
  <si>
    <t>127 a 151</t>
  </si>
  <si>
    <t>folio 6 -40</t>
  </si>
  <si>
    <t>folio 42 - 44</t>
  </si>
  <si>
    <t>Folio 46 a 48</t>
  </si>
  <si>
    <t>Folio 50 a 121</t>
  </si>
  <si>
    <t>49 - 50</t>
  </si>
  <si>
    <t>1.3.A EXPERIENCIA GENERAL  "CONSULTORIA DE SUPERVISION O SUPERVISION O INTERVENTORIA DE INFRAESTRUCTURA DE TRANSPORTE VIAL"  (FORMATO 6)</t>
  </si>
  <si>
    <t>Interventoria Técnica, Financiera y Operativa en la etapa de Construcción del Contrato de Cocnesión No. 005 de 1999, MALLA VIAL DEL VALLE DEL CAUCA Y CAUCA.</t>
  </si>
  <si>
    <t>INCO HOY ANI</t>
  </si>
  <si>
    <t>131 A 136</t>
  </si>
  <si>
    <t>Interventoria Técnica, Administrativa, Legal, Financiera y Ambiental para la adecuación de la Troncal NQS al Sistema de Transmilenio. Tramo Sur, Sur entre la avenida Ciudad de Villavicencio y el límite del distrito con Soacha, incluye Portal y Patio en Bogotá D.C.</t>
  </si>
  <si>
    <t>138 A 140</t>
  </si>
  <si>
    <t>NO CUMPLE CON LA DEFINICION DE INFRAESTRUCTURA.</t>
  </si>
  <si>
    <t>Interventoria Técnica, Jurídica, Administrativa, Operativa y Financiera al contrato de concesión Girardot-Ibague-Cajamarca, celebrado entre el INCO y la Concesionaria San Rafael</t>
  </si>
  <si>
    <t>143 A 153</t>
  </si>
  <si>
    <t>Interventoria Técnica, Administrativa, Financiera Y SocioAmbiental para la construcción y/o rehabilitación de vías en la localidd de San Cristóbal Grupo 5, en Bogotá D.C. correspondiente al concurso de méritos IDU-CM-DTMV-048-2006</t>
  </si>
  <si>
    <t>156 A 166</t>
  </si>
  <si>
    <t>NO HABIL</t>
  </si>
  <si>
    <t>6 A 11</t>
  </si>
  <si>
    <t>Interventoria Técnica, Financiera y Operativa en la etapa de Construcción del Contrato de Concesión No. 005 de 1999, MALLA VIAL DEL VALLE DEL CAUCA Y CAUCA.</t>
  </si>
  <si>
    <t>Interventoria Técnica, Financiera y Operativa en la etapa de Operación del Contrato de Concesión No. 0937 de 1995, SANTAFE DE BOGOTA (FONTIBON) - FACATATIVA - LOS ALPES</t>
  </si>
  <si>
    <t>13 A 22</t>
  </si>
  <si>
    <t>ANI</t>
  </si>
  <si>
    <t>25 A 35</t>
  </si>
  <si>
    <t>Interventoría Técnica, Administrativa, Financiera y Operativa en la etapa de operación del contrato de concesión No. 0446 de 1994 proyecto vial Villavicencio - Puerto López y Villavicencio - Restrepo - Cumaral - K7, via a Paratebueno, denominado Carreteras Nacionales del Meta.</t>
  </si>
  <si>
    <t>37 A 45</t>
  </si>
  <si>
    <t>Contrato ICCU-021-2010. 
Interventoria Técnica, Socio Ambiental, jurídica y Financiera para un periodo de la etapa de Operación y para las actividades de la etapa preoperativa de las obras adicionales de las concesiones viales del departamento de Cundinamarca</t>
  </si>
  <si>
    <t>116 a 144</t>
  </si>
  <si>
    <t>146 a 171</t>
  </si>
  <si>
    <t>Instituto de Infraestructura y Concesiones de Cundinamarca - ICCU</t>
  </si>
  <si>
    <t>174 a 177</t>
  </si>
  <si>
    <t>179 a 203</t>
  </si>
  <si>
    <t>205 a 228</t>
  </si>
  <si>
    <t>CONTRATO No. SOP-V-265-2007
Interventoría Técnica, Socio ambiental, Administrativa, Jurídica y Financiera para un periodo de la etapa de operación del Contrato de Concesión No. 049 de 1998, concesión Troncal del Tequendama, integrado por los trayectos viales chusacá, El Colegio - El Triunfo - Viotá - El Portillo Departamento de Cundinamarca y obras complementarias.</t>
  </si>
  <si>
    <t>230 a 254</t>
  </si>
  <si>
    <t>Interventoria Técnica, Administrativa, Financiera y Ambiental al contrato de concesión No. 180 de 2003 para la adecuación de la Troncal NQS al Sistema de Transmilenio. para el Tramo comprendido entre la escuela de Policia General Santander y la Avenida Ciudad de Villavicencio en Bogotá D.C.</t>
  </si>
  <si>
    <t>6 a 80</t>
  </si>
  <si>
    <t xml:space="preserve">Interventoría Técnica, Operativa y Financiera en la etapa de Operación del contrato de concesión No. 0447/94 de la carretera Bogota (puente El Cortijo) -Siberia -La Punta - El Vino </t>
  </si>
  <si>
    <t>82 a 97</t>
  </si>
  <si>
    <t>99 a 178</t>
  </si>
  <si>
    <t>180 a 206</t>
  </si>
  <si>
    <t>68 dorso</t>
  </si>
  <si>
    <t>121 a 128</t>
  </si>
  <si>
    <t>130 a 138B</t>
  </si>
  <si>
    <t>141 a 142</t>
  </si>
  <si>
    <t>Interventoria Técnica, Administrativa, Financiera y ambiental para los proyectos de mejoramiento y mantenimiento de la red terciaria en el departamento del Putumayo</t>
  </si>
  <si>
    <t>FONADE</t>
  </si>
  <si>
    <t>144 A 157F</t>
  </si>
  <si>
    <t>No cumple con la definicion de Infraestructura Vial</t>
  </si>
  <si>
    <t>Interventoria Técnica, Administrativa, Financiera a la Construcción de pavimento de concreto rígido de la avenida cristian moreno pallares del casco urbano del Municipio de Pelaya, Departamento del Cesar.</t>
  </si>
  <si>
    <t>Secretario de Planeación -Municipio de Pelaya</t>
  </si>
  <si>
    <t>12 a 14</t>
  </si>
  <si>
    <t>7 A 10</t>
  </si>
  <si>
    <t>NO CUMPLE CON LA DEFINICIÓN DE INFRAESTRUCTURA DE TRANSPORTE VIAL</t>
  </si>
  <si>
    <t>159 A 188</t>
  </si>
  <si>
    <t>16 A 18</t>
  </si>
  <si>
    <t xml:space="preserve">Inteventoría técnica, administrativa, financiera, legal social y ambiental de las obras y actividades para la malla vial arterial, intermedia y local de los distritos de conservación en la ciudad de Bogotá D.C correspondiente al grupo 2 - centro. </t>
  </si>
  <si>
    <t xml:space="preserve">Inteventoría de los estudios y diseños pavimentación y/o repavimentación de las vías incluidas dentro del programa de pavimentación de infraestructura vial de integración y desarrollo grupo 47 Tramo 1 vía Bogotá - Choachí con una longitud de 25.00km, Tramo 2 vía Fosva - Caqueza con una longitud de 13,70km, Tramo 3 vía Fosca - Caqueza con una longitud de 0,60km en el departamento de Cundinamarca. </t>
  </si>
  <si>
    <t>INVIAS</t>
  </si>
  <si>
    <t xml:space="preserve">Interventoria de las obras para el mentenimiento de la Carretera Rosas - La Sierra - La Vega. </t>
  </si>
  <si>
    <t>94 - 98</t>
  </si>
  <si>
    <t>107 - 109</t>
  </si>
  <si>
    <t>113 - 115</t>
  </si>
  <si>
    <t xml:space="preserve">Interventoria adminsitrativa, técnica, ambiental y financiera para el diseño, la rehabilitación y recuperación de la via RioBlanco - Chaparral y la vía Atco - Planadas en el departamento del Tolima por porcentaje sobre el valor de los diseños y las obras. </t>
  </si>
  <si>
    <t xml:space="preserve">ACCION SOCIAL </t>
  </si>
  <si>
    <t xml:space="preserve">Interventoría de los estudios y diseños, pavimentación y/o repavimentacion de las vías incluidas dentro del programa de pavimentación de infraestructura vial de integración y desarrollo Grupo 8 vía Necoclí - Turbo con un alongitud de 25 Km en el departamento de Antioquia. </t>
  </si>
  <si>
    <t>99 - 106</t>
  </si>
  <si>
    <t>110 - 112</t>
  </si>
  <si>
    <t>Inteventoría técnica, administrativa, legal, operativa, financiera, predial, social y ambiental al contrato de concesión N°BGG-04-2004, celebrado entre el INCO y la Sociedad Autopistas Bogotá Girardot SA</t>
  </si>
  <si>
    <t>Interventoría técnica, jurídica, administrativ, operativa y financiera al contrato de concesión N°006 de 2007 Concesión Area Metropolitana de Cúcuta y Norte de Santander celebrado entre el INCO y la concesionario San Simon SA</t>
  </si>
  <si>
    <t>Interventoría técnica, jurídica, administrativa, financiera, operativa, predial, socio-ambiental y legal del proyecto de Concesión Vial "Desarrollo Vial del Oriente de Medellín, Valle de RioNegro y Conexión a Puerto Triunfo" en el marco del contrato de concesión 275/1996.</t>
  </si>
  <si>
    <t>Interventoria técnica, financiera, operativa, predial, socio-ambiental y legal del proyecto de concesión Malla Vial del Valle del Cauca y Cauca - MVVCC, en el marco del contrao de concesión 005 de 1999, cuyo objeto es el de revisar, verificar, analizar y conceptuar, permanentemente sobre todo los aspectos técnicos, financieros, operativos, prediales, socio-ambientales y legales relacionados con el diseño, la construcción, la operación y el mantenimiento de los siguientes tramos pertenecientes al contrato de concesión 005 de 1999 "Malla Vial del Valle del Cauca y Cauca - MVVCC"</t>
  </si>
  <si>
    <t>7 a 9</t>
  </si>
  <si>
    <t>10 a 12</t>
  </si>
  <si>
    <t>13 a 19</t>
  </si>
  <si>
    <t xml:space="preserve">Inteventoría de los estudios y diseños pavimentación y/o repavimentación de las vías incluidas dentro del programa de pavimentación de infraestructura vial de integración y desarrollo grupo 47 Tramo 1 vía Bogotá - Choachí con una longitud de 25.00km, Tramo 2 vía Fosca - Caqueza con una longitud de 13,70km, Tramo 3 vía Fosca - Caqueza con una longitud de 0,60km en el departamento de Cundinamarca. </t>
  </si>
  <si>
    <t>Interventoria en las obras para el mantenimiento de la carretera Rosas - La Sierra - La Vega</t>
  </si>
  <si>
    <t>Interventoría técnica, administrativa, financiera y ambiental del proyecto de pavimentación de vias y obras complementarias en el área urbana del municipio de Yopal</t>
  </si>
  <si>
    <t>ALCALDIA DEL MUNICIPIO DE YOPAL</t>
  </si>
  <si>
    <t>116-134</t>
  </si>
  <si>
    <t>3 a 6</t>
  </si>
  <si>
    <t>Contrato No. 1493: Asistencia Técnica para el Control y Vigilancia de obras, Coordinación de Seguridad y Salud y Control y Vigilancia Ambiental: Autopista AP-53. Santiago de Compostela-Ourense. Tramo: Alto de Santo Domingo-A-52. Subtramo: CEA -  A-52</t>
  </si>
  <si>
    <t>Chileno</t>
  </si>
  <si>
    <t>Ministerio de Obras Públicas - Chile</t>
  </si>
  <si>
    <t>Asesoria para la inspección fiscal Concesión Internacional Sistema Americo Vespucio Norponiente, Av EL Santo - Ruta 78 Region Metropolitana</t>
  </si>
  <si>
    <t>78 - 82</t>
  </si>
  <si>
    <t>CHILE</t>
  </si>
  <si>
    <t>91 - 94</t>
  </si>
  <si>
    <t>Secretaria de Obras del Municipio de Medellín</t>
  </si>
  <si>
    <t>Interventoria de la ampliación de la doble calzada de la carrertera 65 entre calles 101 y 103E y obras complementarias</t>
  </si>
  <si>
    <t>96 - 98</t>
  </si>
  <si>
    <t xml:space="preserve">Asesoria a la Inspección Fiscal a la Concesión Internacional Vial Santiago - Valparaiso - Viña del Mar </t>
  </si>
  <si>
    <t>84 - 89</t>
  </si>
  <si>
    <t>Contrato de Concesión N° 062 del 20 de diciembre de 2005, el Interventor se obliga a ejecutar para el INCO la interventoría técnica, ambiental, legal, administrativa, predial, financiera y operatva en la etapa de operación del conctrato de concesión N849 de 1995. Desarrollo vial carretera Neiva - Espinal - Girardot</t>
  </si>
  <si>
    <t>9 A 13</t>
  </si>
  <si>
    <t>15 A 20</t>
  </si>
  <si>
    <t>Asesoria a la Inspección Técnica a la explotación de Obras Concesionadas Zona Centro - Norte</t>
  </si>
  <si>
    <t>22 a 29</t>
  </si>
  <si>
    <t>Direccion de Obras del carril reservado para autobuses en la autopista C-58 entre el nudo de Ripollet y la avenida de la Meridiana, Clave TA-98417.5 (UTE CICSA 50% - Paymacotas 50%)</t>
  </si>
  <si>
    <t>Interventoría técnica, operativa y financiera en la etapa de operación del contrato de Concesión número 005 DE 1999 proyecto vial denominado Malla Vial del Valle del Cauca y Cauca (Interventoria Malla vial del Cauca)</t>
  </si>
  <si>
    <t>interventoria tecnica y administrativa para el mejoramiento de la Carretera  Fuente de Oro - Puerto lleras en el departamento del Meta K20+000 a K34+000</t>
  </si>
  <si>
    <t>Interventoria del mejoramiento y mantenimiento de la carretera laberinto, sector PR 48+000 al PR100+368 ruta 24 Tramo 2402 Direccion territorial Huila</t>
  </si>
  <si>
    <t>Tabasa Infraestrucures i Serveis de Mobilitat S.A.</t>
  </si>
  <si>
    <t xml:space="preserve">Instituto Nacional de Vias - INVIAS </t>
  </si>
  <si>
    <t>250-254</t>
  </si>
  <si>
    <t>264-276</t>
  </si>
  <si>
    <t>330 - 347</t>
  </si>
  <si>
    <t>Consultoria y asistencia para el control y vigilancia de las obras: Carretera N-420 de cordoba a Tarragona por Cuenca Tramo Variante de Falset</t>
  </si>
  <si>
    <t>MINISTERIO DE FOMENTO</t>
  </si>
  <si>
    <t>Interventoría técnica y financiera en la etapa de operación del contrato de Concesión número 664 de 1994. Poyecto desarrollo vial para el Norte de Bogota (interventoria DEVINORTE 1)</t>
  </si>
  <si>
    <t>257-261</t>
  </si>
  <si>
    <t>279-305</t>
  </si>
  <si>
    <t>307-327</t>
  </si>
  <si>
    <t>Interventoría técnica y financiera en la etapa de operación del contrato de Concesión número 664 de 1994. Poyecto desarrollo vial para el Norte de Bogota (interventoria DEVINORTE II)</t>
  </si>
  <si>
    <t>Interventoría técnica, operativa y financiera en la etapa de operación del contrato de Concesión número 446 -94, PTOYECTO VIAL VILLAVICENCIO - GRANADA VILLAVICENCIO - PUERTO LOPEZ Y VILLAVICENCIO - RESTREPO - CUMARAL - K7 VIA PARATEBUENO</t>
  </si>
  <si>
    <t>4 - 30</t>
  </si>
  <si>
    <t>32 - 52</t>
  </si>
  <si>
    <t xml:space="preserve">54 - 80 </t>
  </si>
  <si>
    <t>82 - 101</t>
  </si>
  <si>
    <t>279 - 305</t>
  </si>
  <si>
    <t xml:space="preserve">Factores de calificación </t>
  </si>
  <si>
    <t>No se tiene RUP; anexa formato de dilegenciamiento N°2</t>
  </si>
  <si>
    <t>No presenta RUP, pero declara pertenecer a la clasificación CIIU 7710</t>
  </si>
  <si>
    <t>Interventoria Técnica, Administrativa, Financiera Y SocioAmbiental para la construcción y/o rehabilitación de vías en la localidad de San Cristóbal Grupo 5, en Bogotá D.C. correspondiente al concurso de méritos IDU-CM-DTMV-048-2006</t>
  </si>
  <si>
    <t>CONSORCIO INTERVENTORES NORTE DE SANTANDER</t>
  </si>
  <si>
    <t>NO CUMPLE</t>
  </si>
  <si>
    <t>1.2 (RUP) EXPERIENCIA PROBABLE</t>
  </si>
  <si>
    <t>EXPERIENCIA GENERAL A)</t>
  </si>
  <si>
    <t>EXPERIENCIA GENERAL B)</t>
  </si>
  <si>
    <t>EXPERIENCIA ESPECIFICA</t>
  </si>
  <si>
    <t>900 puntos</t>
  </si>
  <si>
    <t>-</t>
  </si>
  <si>
    <t>Uno de los cuatro contratos presentados para experiencia específica tiene  una parcipación del 25% por lo tanto no se tienen en cuenta y el proponente obtiene 800 ptos</t>
  </si>
  <si>
    <t>OBSERVACIONES GENERALES</t>
  </si>
  <si>
    <t>OBSERVACIONES ESPECIFICAS</t>
  </si>
  <si>
    <t>PUNTAJES</t>
  </si>
  <si>
    <t>PROPUESTA TECNICA</t>
  </si>
  <si>
    <t xml:space="preserve">En reunión para revisión de subsanes con el Doc Wilmar, se determinó que no es necesario subsanar. </t>
  </si>
  <si>
    <t>Se requier subsane unicamente para el contrato de orden 2 del socio NO LIDER</t>
  </si>
  <si>
    <t>Se requiere subsane para aclaración contrato de orden 3 miembro no lider</t>
  </si>
  <si>
    <t xml:space="preserve">NO HABIL </t>
  </si>
  <si>
    <t>NO SE AVALA EL SUBSANE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</si>
</sst>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 #,##0.00_);_(&quot;$&quot;\ * \(#,##0.00\);_(&quot;$&quot;\ * &quot;-&quot;??_);_(@_)"/>
    <numFmt numFmtId="165" formatCode="_(* #,##0.00_);_(* \(#,##0.00\);_(* &quot;-&quot;??_);_(@_)"/>
    <numFmt numFmtId="166" formatCode="_ * #,##0.00_ ;_ * \-#,##0.00_ ;_ * &quot;-&quot;??_ ;_ @_ "/>
    <numFmt numFmtId="167" formatCode="#,##0.0"/>
    <numFmt numFmtId="168" formatCode="&quot;NN&quot;\ 0"/>
    <numFmt numFmtId="169" formatCode="[$-240A]d&quot; de &quot;mmmm&quot; de &quot;yyyy;@"/>
    <numFmt numFmtId="170" formatCode="_ * #,##0_ ;_ * \-#,##0_ ;_ * &quot;-&quot;??_ ;_ @_ "/>
    <numFmt numFmtId="171" formatCode="0.0%"/>
    <numFmt numFmtId="172" formatCode="#,##0.000"/>
    <numFmt numFmtId="173" formatCode="[$$-240A]\ #,##0"/>
    <numFmt numFmtId="174" formatCode="#,##0.00_ ;\-#,##0.00\ "/>
    <numFmt numFmtId="175" formatCode="[$-C0A]dd\-mmm\-yy;@"/>
  </numFmts>
  <fonts count="45" x14ac:knownFonts="1">
    <font>
      <sz val="10"/>
      <name val="Arial"/>
    </font>
    <font>
      <sz val="10"/>
      <name val="Arial"/>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0"/>
      <name val="Arial"/>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8"/>
      <name val="Arial"/>
      <family val="2"/>
    </font>
    <font>
      <b/>
      <sz val="12"/>
      <name val="Times New Roman"/>
      <family val="1"/>
    </font>
    <font>
      <b/>
      <sz val="8"/>
      <name val="Arial"/>
      <family val="2"/>
    </font>
    <font>
      <b/>
      <sz val="10"/>
      <name val="Arial"/>
      <family val="2"/>
    </font>
    <font>
      <sz val="12"/>
      <color indexed="8"/>
      <name val="Calibri"/>
      <family val="2"/>
    </font>
    <font>
      <b/>
      <sz val="14"/>
      <name val="Times New Roman"/>
      <family val="1"/>
    </font>
    <font>
      <b/>
      <sz val="12"/>
      <name val="Arial"/>
      <family val="2"/>
    </font>
    <font>
      <sz val="8"/>
      <color indexed="8"/>
      <name val="Arial"/>
      <family val="2"/>
    </font>
    <font>
      <sz val="9"/>
      <color indexed="8"/>
      <name val="Arial"/>
      <family val="2"/>
    </font>
    <font>
      <b/>
      <sz val="9"/>
      <color indexed="8"/>
      <name val="Arial"/>
      <family val="2"/>
    </font>
    <font>
      <sz val="11"/>
      <color indexed="8"/>
      <name val="Arial"/>
      <family val="2"/>
    </font>
    <font>
      <b/>
      <sz val="14"/>
      <color indexed="8"/>
      <name val="Arial"/>
      <family val="2"/>
    </font>
    <font>
      <b/>
      <sz val="11"/>
      <color indexed="8"/>
      <name val="Arial"/>
      <family val="2"/>
    </font>
    <font>
      <b/>
      <i/>
      <sz val="8"/>
      <color indexed="8"/>
      <name val="Arial"/>
      <family val="2"/>
    </font>
    <font>
      <b/>
      <i/>
      <sz val="9"/>
      <color indexed="8"/>
      <name val="Arial"/>
      <family val="2"/>
    </font>
    <font>
      <b/>
      <sz val="9"/>
      <name val="Arial"/>
      <family val="2"/>
    </font>
    <font>
      <b/>
      <sz val="20"/>
      <name val="Times New Roman"/>
      <family val="1"/>
    </font>
    <font>
      <sz val="10"/>
      <name val="Arial"/>
      <family val="2"/>
    </font>
    <font>
      <sz val="10"/>
      <color indexed="8"/>
      <name val="Arial"/>
      <family val="2"/>
    </font>
    <font>
      <b/>
      <sz val="10"/>
      <name val="Arial"/>
      <family val="2"/>
    </font>
    <font>
      <sz val="12"/>
      <name val="Arial"/>
      <family val="2"/>
    </font>
    <font>
      <sz val="14"/>
      <name val="Arial"/>
      <family val="2"/>
    </font>
    <font>
      <sz val="11"/>
      <color theme="1"/>
      <name val="Calibri"/>
      <family val="2"/>
      <scheme val="minor"/>
    </font>
    <font>
      <b/>
      <sz val="12"/>
      <color theme="1"/>
      <name val="Calibri"/>
      <family val="2"/>
      <scheme val="minor"/>
    </font>
    <font>
      <b/>
      <sz val="11"/>
      <color theme="1"/>
      <name val="Calibri"/>
      <family val="2"/>
      <scheme val="minor"/>
    </font>
    <font>
      <b/>
      <sz val="14"/>
      <color theme="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5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166" fontId="1" fillId="0" borderId="0" applyFont="0" applyFill="0" applyBorder="0" applyAlignment="0" applyProtection="0"/>
    <xf numFmtId="165" fontId="23" fillId="0" borderId="0" applyFont="0" applyFill="0" applyBorder="0" applyAlignment="0" applyProtection="0"/>
    <xf numFmtId="166" fontId="11" fillId="0" borderId="0" applyFont="0" applyFill="0" applyBorder="0" applyAlignment="0" applyProtection="0"/>
    <xf numFmtId="164" fontId="41" fillId="0" borderId="0" applyFont="0" applyFill="0" applyBorder="0" applyAlignment="0" applyProtection="0"/>
    <xf numFmtId="0" fontId="12" fillId="22" borderId="0" applyNumberFormat="0" applyBorder="0" applyAlignment="0" applyProtection="0"/>
    <xf numFmtId="0" fontId="11" fillId="0" borderId="0"/>
    <xf numFmtId="0" fontId="11" fillId="0" borderId="0"/>
    <xf numFmtId="0" fontId="23" fillId="0" borderId="0"/>
    <xf numFmtId="0" fontId="2" fillId="0" borderId="0"/>
    <xf numFmtId="0" fontId="11" fillId="0" borderId="0"/>
    <xf numFmtId="0" fontId="11" fillId="0" borderId="0"/>
    <xf numFmtId="0" fontId="41" fillId="0" borderId="0"/>
    <xf numFmtId="0" fontId="2" fillId="0" borderId="0"/>
    <xf numFmtId="0" fontId="11" fillId="0" borderId="0"/>
    <xf numFmtId="0" fontId="2" fillId="0" borderId="0"/>
    <xf numFmtId="0" fontId="11" fillId="23" borderId="4" applyNumberFormat="0" applyFont="0" applyAlignment="0" applyProtection="0"/>
    <xf numFmtId="9" fontId="1" fillId="0" borderId="0" applyFont="0" applyFill="0" applyBorder="0" applyAlignment="0" applyProtection="0"/>
    <xf numFmtId="9" fontId="3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8" fillId="0" borderId="7" applyNumberFormat="0" applyFill="0" applyAlignment="0" applyProtection="0"/>
    <xf numFmtId="0" fontId="18" fillId="0" borderId="8" applyNumberFormat="0" applyFill="0" applyAlignment="0" applyProtection="0"/>
  </cellStyleXfs>
  <cellXfs count="930">
    <xf numFmtId="0" fontId="0" fillId="0" borderId="0" xfId="0"/>
    <xf numFmtId="0" fontId="11" fillId="0" borderId="0" xfId="45" applyProtection="1">
      <protection hidden="1"/>
    </xf>
    <xf numFmtId="0" fontId="19" fillId="0" borderId="0" xfId="45" applyFont="1" applyAlignment="1" applyProtection="1">
      <alignment vertical="center"/>
      <protection hidden="1"/>
    </xf>
    <xf numFmtId="4" fontId="11" fillId="0" borderId="0" xfId="45" applyNumberFormat="1" applyProtection="1">
      <protection hidden="1"/>
    </xf>
    <xf numFmtId="0" fontId="11" fillId="0" borderId="0" xfId="38" applyFont="1" applyProtection="1">
      <protection hidden="1"/>
    </xf>
    <xf numFmtId="0" fontId="26" fillId="24" borderId="9" xfId="44" applyFont="1" applyFill="1" applyBorder="1" applyAlignment="1">
      <alignment horizontal="center" vertical="center"/>
    </xf>
    <xf numFmtId="0" fontId="26" fillId="0" borderId="9" xfId="44" applyFont="1" applyBorder="1" applyAlignment="1">
      <alignment horizontal="center" vertical="center"/>
    </xf>
    <xf numFmtId="0" fontId="29" fillId="0" borderId="10" xfId="44" applyFont="1" applyBorder="1" applyAlignment="1">
      <alignment horizontal="center" vertical="center"/>
    </xf>
    <xf numFmtId="0" fontId="29" fillId="0" borderId="0" xfId="44" applyFont="1"/>
    <xf numFmtId="0" fontId="27" fillId="0" borderId="11" xfId="44" applyFont="1" applyBorder="1" applyAlignment="1">
      <alignment horizontal="right" wrapText="1"/>
    </xf>
    <xf numFmtId="0" fontId="27" fillId="0" borderId="12" xfId="44" applyFont="1" applyBorder="1" applyAlignment="1">
      <alignment horizontal="right" wrapText="1"/>
    </xf>
    <xf numFmtId="0" fontId="27" fillId="0" borderId="13" xfId="44" applyFont="1" applyBorder="1" applyAlignment="1">
      <alignment horizontal="right" wrapText="1"/>
    </xf>
    <xf numFmtId="0" fontId="31" fillId="25" borderId="14" xfId="44" applyFont="1" applyFill="1" applyBorder="1" applyAlignment="1">
      <alignment horizontal="center"/>
    </xf>
    <xf numFmtId="0" fontId="31" fillId="25" borderId="15" xfId="44" applyFont="1" applyFill="1" applyBorder="1" applyAlignment="1">
      <alignment horizontal="center"/>
    </xf>
    <xf numFmtId="0" fontId="31" fillId="25" borderId="16" xfId="44" applyFont="1" applyFill="1" applyBorder="1" applyAlignment="1">
      <alignment horizontal="center"/>
    </xf>
    <xf numFmtId="0" fontId="27" fillId="0" borderId="17" xfId="44" applyFont="1" applyBorder="1" applyAlignment="1">
      <alignment horizontal="right"/>
    </xf>
    <xf numFmtId="0" fontId="29" fillId="0" borderId="18" xfId="44" applyFont="1" applyBorder="1" applyAlignment="1"/>
    <xf numFmtId="0" fontId="29" fillId="0" borderId="19" xfId="44" applyFont="1" applyBorder="1" applyAlignment="1">
      <alignment horizontal="center" vertical="center"/>
    </xf>
    <xf numFmtId="0" fontId="29" fillId="0" borderId="20" xfId="44" applyFont="1" applyBorder="1" applyAlignment="1">
      <alignment horizontal="center" vertical="center"/>
    </xf>
    <xf numFmtId="0" fontId="27" fillId="0" borderId="21" xfId="44" applyFont="1" applyBorder="1" applyAlignment="1">
      <alignment horizontal="right"/>
    </xf>
    <xf numFmtId="0" fontId="29" fillId="0" borderId="22" xfId="44" applyFont="1" applyBorder="1" applyAlignment="1">
      <alignment vertical="center"/>
    </xf>
    <xf numFmtId="0" fontId="29" fillId="0" borderId="9" xfId="44" applyFont="1" applyBorder="1" applyAlignment="1">
      <alignment horizontal="center" vertical="center"/>
    </xf>
    <xf numFmtId="0" fontId="31" fillId="25" borderId="23" xfId="44" applyFont="1" applyFill="1" applyBorder="1" applyAlignment="1">
      <alignment horizontal="center"/>
    </xf>
    <xf numFmtId="0" fontId="31" fillId="25" borderId="24" xfId="44" applyFont="1" applyFill="1" applyBorder="1" applyAlignment="1">
      <alignment horizontal="center"/>
    </xf>
    <xf numFmtId="0" fontId="31" fillId="25" borderId="25" xfId="44" applyFont="1" applyFill="1" applyBorder="1" applyAlignment="1">
      <alignment horizontal="center"/>
    </xf>
    <xf numFmtId="0" fontId="32" fillId="0" borderId="26" xfId="44" applyFont="1" applyBorder="1"/>
    <xf numFmtId="0" fontId="26" fillId="0" borderId="27" xfId="44" applyFont="1" applyBorder="1"/>
    <xf numFmtId="0" fontId="26" fillId="0" borderId="28" xfId="44" applyFont="1" applyBorder="1"/>
    <xf numFmtId="0" fontId="32" fillId="0" borderId="29" xfId="44" applyFont="1" applyBorder="1"/>
    <xf numFmtId="0" fontId="26" fillId="0" borderId="30" xfId="44" applyFont="1" applyBorder="1"/>
    <xf numFmtId="0" fontId="26" fillId="0" borderId="31" xfId="44" applyFont="1" applyBorder="1"/>
    <xf numFmtId="0" fontId="32" fillId="0" borderId="32" xfId="44" applyFont="1" applyBorder="1"/>
    <xf numFmtId="0" fontId="26" fillId="0" borderId="33" xfId="44" applyFont="1" applyBorder="1"/>
    <xf numFmtId="0" fontId="26" fillId="0" borderId="34" xfId="44" applyFont="1" applyBorder="1"/>
    <xf numFmtId="0" fontId="28" fillId="0" borderId="35" xfId="44" applyFont="1" applyBorder="1" applyAlignment="1">
      <alignment horizontal="center" vertical="center"/>
    </xf>
    <xf numFmtId="0" fontId="28" fillId="0" borderId="36" xfId="44" applyFont="1" applyBorder="1" applyAlignment="1">
      <alignment horizontal="center" vertical="center"/>
    </xf>
    <xf numFmtId="0" fontId="28" fillId="0" borderId="37" xfId="44" applyFont="1" applyBorder="1" applyAlignment="1">
      <alignment horizontal="center" vertical="center"/>
    </xf>
    <xf numFmtId="0" fontId="26" fillId="24" borderId="19" xfId="44" applyFont="1" applyFill="1" applyBorder="1"/>
    <xf numFmtId="0" fontId="26" fillId="24" borderId="19" xfId="44" applyFont="1" applyFill="1" applyBorder="1" applyAlignment="1">
      <alignment horizontal="center" vertical="center"/>
    </xf>
    <xf numFmtId="0" fontId="26" fillId="24" borderId="9" xfId="44" applyFont="1" applyFill="1" applyBorder="1"/>
    <xf numFmtId="0" fontId="26" fillId="0" borderId="9" xfId="44" applyFont="1" applyBorder="1"/>
    <xf numFmtId="0" fontId="26" fillId="24" borderId="19" xfId="44" applyFont="1" applyFill="1" applyBorder="1" applyAlignment="1">
      <alignment horizontal="left" vertical="center"/>
    </xf>
    <xf numFmtId="0" fontId="26" fillId="24" borderId="9" xfId="44" applyFont="1" applyFill="1" applyBorder="1" applyAlignment="1">
      <alignment horizontal="left" vertical="center"/>
    </xf>
    <xf numFmtId="0" fontId="26" fillId="0" borderId="9" xfId="44" applyFont="1" applyBorder="1" applyAlignment="1">
      <alignment horizontal="left" vertical="center"/>
    </xf>
    <xf numFmtId="0" fontId="29" fillId="0" borderId="0" xfId="44" applyFont="1" applyAlignment="1">
      <alignment horizontal="right"/>
    </xf>
    <xf numFmtId="0" fontId="26" fillId="0" borderId="30" xfId="44" applyFont="1" applyBorder="1" applyAlignment="1">
      <alignment horizontal="justify" vertical="justify"/>
    </xf>
    <xf numFmtId="0" fontId="19" fillId="0" borderId="9" xfId="38" applyFont="1" applyFill="1" applyBorder="1" applyAlignment="1">
      <alignment horizontal="center" vertical="center" wrapText="1"/>
    </xf>
    <xf numFmtId="4" fontId="21" fillId="27" borderId="9" xfId="38" applyNumberFormat="1" applyFont="1" applyFill="1" applyBorder="1" applyAlignment="1">
      <alignment horizontal="center" vertical="center" wrapText="1"/>
    </xf>
    <xf numFmtId="0" fontId="11" fillId="0" borderId="9" xfId="38" applyFont="1" applyFill="1" applyBorder="1" applyAlignment="1">
      <alignment horizontal="center" vertical="center" wrapText="1"/>
    </xf>
    <xf numFmtId="0" fontId="11" fillId="0" borderId="38" xfId="38"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39" xfId="0" applyBorder="1" applyAlignment="1">
      <alignment vertical="center" wrapText="1"/>
    </xf>
    <xf numFmtId="0" fontId="11" fillId="0" borderId="39" xfId="0" applyFont="1" applyBorder="1" applyAlignment="1">
      <alignment vertical="center"/>
    </xf>
    <xf numFmtId="9" fontId="0" fillId="0" borderId="40" xfId="48" applyFont="1" applyBorder="1" applyAlignment="1">
      <alignment horizontal="center" vertical="center"/>
    </xf>
    <xf numFmtId="0" fontId="0" fillId="0" borderId="41" xfId="0" applyBorder="1" applyAlignment="1">
      <alignment vertical="center" wrapText="1"/>
    </xf>
    <xf numFmtId="0" fontId="0" fillId="0" borderId="41" xfId="0" applyBorder="1" applyAlignment="1">
      <alignment vertical="center"/>
    </xf>
    <xf numFmtId="9" fontId="0" fillId="0" borderId="42" xfId="48" applyFont="1" applyBorder="1" applyAlignment="1">
      <alignment horizontal="center" vertical="center"/>
    </xf>
    <xf numFmtId="0" fontId="0" fillId="0" borderId="43" xfId="0" applyBorder="1" applyAlignment="1">
      <alignment vertical="center" wrapText="1"/>
    </xf>
    <xf numFmtId="0" fontId="0" fillId="0" borderId="43" xfId="0" applyBorder="1" applyAlignment="1">
      <alignment vertical="center"/>
    </xf>
    <xf numFmtId="9" fontId="0" fillId="0" borderId="44" xfId="48" applyFont="1" applyBorder="1" applyAlignment="1">
      <alignment horizontal="center" vertical="center"/>
    </xf>
    <xf numFmtId="0" fontId="0" fillId="0" borderId="39" xfId="0" applyBorder="1" applyAlignment="1">
      <alignment vertical="center"/>
    </xf>
    <xf numFmtId="0" fontId="42" fillId="0" borderId="45" xfId="0" applyFont="1" applyBorder="1" applyAlignment="1">
      <alignment horizontal="center" vertical="center" wrapText="1"/>
    </xf>
    <xf numFmtId="0" fontId="42" fillId="0" borderId="24" xfId="0" applyFont="1" applyBorder="1" applyAlignment="1">
      <alignment horizontal="center" vertical="center"/>
    </xf>
    <xf numFmtId="0" fontId="42" fillId="0" borderId="24" xfId="0" applyFont="1" applyBorder="1" applyAlignment="1">
      <alignment horizontal="center" vertical="center" wrapText="1"/>
    </xf>
    <xf numFmtId="0" fontId="42" fillId="0" borderId="46" xfId="0" applyFont="1" applyBorder="1" applyAlignment="1">
      <alignment horizontal="center" vertical="center"/>
    </xf>
    <xf numFmtId="0" fontId="42" fillId="0" borderId="0" xfId="0" applyFont="1" applyBorder="1" applyAlignment="1">
      <alignment horizontal="center" vertical="center"/>
    </xf>
    <xf numFmtId="0" fontId="43" fillId="0" borderId="0" xfId="0" applyFont="1" applyBorder="1" applyAlignment="1">
      <alignment horizontal="center" vertical="center" wrapText="1"/>
    </xf>
    <xf numFmtId="0" fontId="43" fillId="0" borderId="0" xfId="0" applyFont="1" applyBorder="1" applyAlignment="1">
      <alignment horizontal="center" vertical="center"/>
    </xf>
    <xf numFmtId="49" fontId="41" fillId="0" borderId="39" xfId="0" applyNumberFormat="1" applyFont="1" applyBorder="1" applyAlignment="1">
      <alignment horizontal="center" vertical="center" wrapText="1"/>
    </xf>
    <xf numFmtId="49" fontId="41" fillId="0" borderId="41" xfId="0" applyNumberFormat="1" applyFont="1" applyBorder="1" applyAlignment="1">
      <alignment horizontal="center" vertical="center" wrapText="1"/>
    </xf>
    <xf numFmtId="49" fontId="41" fillId="0" borderId="43" xfId="0" applyNumberFormat="1" applyFont="1" applyBorder="1" applyAlignment="1">
      <alignment horizontal="center" vertical="center" wrapText="1"/>
    </xf>
    <xf numFmtId="0" fontId="20" fillId="0" borderId="0" xfId="45" applyFont="1" applyBorder="1" applyAlignment="1" applyProtection="1">
      <alignment horizontal="centerContinuous" vertical="center" wrapText="1"/>
      <protection hidden="1"/>
    </xf>
    <xf numFmtId="0" fontId="20" fillId="0" borderId="0" xfId="45" applyFont="1" applyBorder="1" applyAlignment="1" applyProtection="1">
      <alignment horizontal="left" vertical="center"/>
      <protection hidden="1"/>
    </xf>
    <xf numFmtId="0" fontId="19" fillId="0" borderId="38" xfId="38" applyFont="1" applyFill="1" applyBorder="1" applyAlignment="1">
      <alignment horizontal="center" vertical="center" wrapText="1"/>
    </xf>
    <xf numFmtId="0" fontId="21" fillId="0" borderId="47" xfId="38" applyFont="1" applyFill="1" applyBorder="1" applyAlignment="1">
      <alignment horizontal="center" vertical="center" wrapText="1"/>
    </xf>
    <xf numFmtId="0" fontId="21" fillId="0" borderId="48" xfId="38" applyFont="1" applyFill="1" applyBorder="1" applyAlignment="1">
      <alignment horizontal="center" vertical="center" wrapText="1"/>
    </xf>
    <xf numFmtId="0" fontId="22" fillId="0" borderId="49" xfId="45" applyFont="1" applyBorder="1" applyAlignment="1" applyProtection="1">
      <alignment horizontal="center" vertical="center"/>
      <protection hidden="1"/>
    </xf>
    <xf numFmtId="0" fontId="20" fillId="0" borderId="0" xfId="45" applyFont="1" applyBorder="1" applyAlignment="1" applyProtection="1">
      <alignment vertical="center" wrapText="1"/>
      <protection hidden="1"/>
    </xf>
    <xf numFmtId="0" fontId="21" fillId="0" borderId="0" xfId="45" applyFont="1" applyFill="1" applyBorder="1" applyAlignment="1" applyProtection="1">
      <alignment vertical="center" wrapText="1"/>
      <protection locked="0" hidden="1"/>
    </xf>
    <xf numFmtId="0" fontId="19" fillId="0" borderId="0" xfId="45" applyFont="1" applyFill="1" applyBorder="1" applyAlignment="1" applyProtection="1">
      <alignment vertical="center" wrapText="1"/>
      <protection locked="0" hidden="1"/>
    </xf>
    <xf numFmtId="4" fontId="21" fillId="0" borderId="0" xfId="38" applyNumberFormat="1" applyFont="1" applyFill="1" applyBorder="1" applyAlignment="1">
      <alignment horizontal="center" vertical="center" wrapText="1"/>
    </xf>
    <xf numFmtId="4" fontId="11" fillId="0" borderId="0" xfId="45" applyNumberFormat="1" applyFill="1" applyBorder="1" applyProtection="1">
      <protection hidden="1"/>
    </xf>
    <xf numFmtId="0" fontId="22" fillId="0" borderId="0" xfId="0" applyFont="1" applyFill="1" applyBorder="1" applyAlignment="1">
      <alignment vertical="center" wrapText="1"/>
    </xf>
    <xf numFmtId="0" fontId="21" fillId="0" borderId="0" xfId="45" applyFont="1" applyFill="1" applyBorder="1" applyAlignment="1" applyProtection="1">
      <alignment vertical="center" wrapText="1"/>
    </xf>
    <xf numFmtId="0" fontId="11" fillId="0" borderId="0" xfId="0" applyFont="1" applyFill="1" applyBorder="1" applyAlignment="1">
      <alignment wrapText="1"/>
    </xf>
    <xf numFmtId="0" fontId="19" fillId="0" borderId="50" xfId="38" applyFont="1" applyFill="1" applyBorder="1" applyAlignment="1">
      <alignment horizontal="center" vertical="center" wrapText="1"/>
    </xf>
    <xf numFmtId="0" fontId="11" fillId="0" borderId="0" xfId="45" applyAlignment="1" applyProtection="1">
      <alignment horizontal="center" vertical="center"/>
      <protection hidden="1"/>
    </xf>
    <xf numFmtId="4" fontId="11" fillId="0" borderId="0" xfId="45" applyNumberFormat="1" applyAlignment="1" applyProtection="1">
      <alignment horizontal="center" vertical="center"/>
      <protection hidden="1"/>
    </xf>
    <xf numFmtId="0" fontId="35" fillId="0" borderId="0" xfId="45" applyFont="1" applyBorder="1" applyAlignment="1" applyProtection="1">
      <alignment horizontal="left" vertical="center"/>
      <protection hidden="1"/>
    </xf>
    <xf numFmtId="0" fontId="11" fillId="0" borderId="51" xfId="45" applyBorder="1" applyAlignment="1" applyProtection="1">
      <alignment horizontal="center"/>
      <protection hidden="1"/>
    </xf>
    <xf numFmtId="0" fontId="11" fillId="0" borderId="49" xfId="45" applyBorder="1" applyAlignment="1" applyProtection="1">
      <alignment horizontal="center"/>
      <protection hidden="1"/>
    </xf>
    <xf numFmtId="0" fontId="11" fillId="0" borderId="52" xfId="45" applyBorder="1" applyAlignment="1" applyProtection="1">
      <alignment horizontal="center"/>
      <protection hidden="1"/>
    </xf>
    <xf numFmtId="3" fontId="22" fillId="0" borderId="9" xfId="38" applyNumberFormat="1" applyFont="1" applyFill="1" applyBorder="1" applyAlignment="1" applyProtection="1">
      <alignment horizontal="center" vertical="center" wrapText="1"/>
      <protection hidden="1"/>
    </xf>
    <xf numFmtId="0" fontId="11" fillId="0" borderId="53" xfId="38" applyFont="1" applyFill="1" applyBorder="1" applyAlignment="1">
      <alignment horizontal="center" vertical="center" wrapText="1"/>
    </xf>
    <xf numFmtId="0" fontId="11" fillId="0" borderId="54" xfId="38" applyFont="1" applyFill="1" applyBorder="1" applyAlignment="1">
      <alignment horizontal="left" vertical="center" wrapText="1"/>
    </xf>
    <xf numFmtId="0" fontId="11" fillId="0" borderId="54" xfId="38" applyFont="1" applyFill="1" applyBorder="1" applyAlignment="1">
      <alignment horizontal="center" vertical="center" wrapText="1"/>
    </xf>
    <xf numFmtId="0" fontId="11" fillId="0" borderId="55" xfId="38" applyFont="1" applyFill="1" applyBorder="1" applyAlignment="1">
      <alignment horizontal="center" vertical="center" wrapText="1"/>
    </xf>
    <xf numFmtId="0" fontId="11" fillId="0" borderId="9" xfId="38" applyFont="1" applyFill="1" applyBorder="1" applyAlignment="1">
      <alignment horizontal="left" vertical="center" wrapText="1"/>
    </xf>
    <xf numFmtId="0" fontId="11" fillId="0" borderId="56" xfId="38" applyFont="1" applyFill="1" applyBorder="1" applyAlignment="1">
      <alignment horizontal="center" vertical="center" wrapText="1"/>
    </xf>
    <xf numFmtId="0" fontId="11" fillId="0" borderId="38" xfId="38" applyFont="1" applyFill="1" applyBorder="1" applyAlignment="1">
      <alignment horizontal="left" vertical="center" wrapText="1"/>
    </xf>
    <xf numFmtId="0" fontId="22" fillId="28" borderId="48" xfId="38" applyNumberFormat="1" applyFont="1" applyFill="1" applyBorder="1" applyAlignment="1" applyProtection="1">
      <alignment horizontal="center" vertical="center" wrapText="1"/>
      <protection locked="0"/>
    </xf>
    <xf numFmtId="0" fontId="22" fillId="0" borderId="47" xfId="38" applyFont="1" applyFill="1" applyBorder="1" applyAlignment="1">
      <alignment horizontal="center" vertical="center" wrapText="1"/>
    </xf>
    <xf numFmtId="0" fontId="22" fillId="0" borderId="57" xfId="38" applyFont="1" applyFill="1" applyBorder="1" applyAlignment="1">
      <alignment horizontal="center" vertical="center" wrapText="1"/>
    </xf>
    <xf numFmtId="0" fontId="11" fillId="0" borderId="53" xfId="38" applyNumberFormat="1" applyFont="1" applyFill="1" applyBorder="1" applyAlignment="1">
      <alignment horizontal="center" vertical="center" wrapText="1"/>
    </xf>
    <xf numFmtId="0" fontId="11" fillId="0" borderId="54" xfId="38" applyFont="1" applyFill="1" applyBorder="1" applyAlignment="1" applyProtection="1">
      <alignment horizontal="justify" vertical="center" wrapText="1"/>
    </xf>
    <xf numFmtId="0" fontId="11" fillId="0" borderId="55" xfId="38" applyNumberFormat="1" applyFont="1" applyFill="1" applyBorder="1" applyAlignment="1">
      <alignment horizontal="center" vertical="center" wrapText="1"/>
    </xf>
    <xf numFmtId="0" fontId="11" fillId="0" borderId="9" xfId="38" applyFont="1" applyFill="1" applyBorder="1" applyAlignment="1" applyProtection="1">
      <alignment horizontal="justify" vertical="center" wrapText="1"/>
    </xf>
    <xf numFmtId="0" fontId="11" fillId="0" borderId="56" xfId="38" applyNumberFormat="1" applyFont="1" applyFill="1" applyBorder="1" applyAlignment="1">
      <alignment horizontal="center" vertical="center" wrapText="1"/>
    </xf>
    <xf numFmtId="0" fontId="11" fillId="0" borderId="38" xfId="38" applyFont="1" applyFill="1" applyBorder="1" applyAlignment="1" applyProtection="1">
      <alignment horizontal="justify" vertical="center" wrapText="1"/>
    </xf>
    <xf numFmtId="0" fontId="22" fillId="27" borderId="0" xfId="45" applyFont="1" applyFill="1" applyBorder="1" applyAlignment="1" applyProtection="1">
      <alignment horizontal="center" vertical="center"/>
      <protection hidden="1"/>
    </xf>
    <xf numFmtId="0" fontId="11" fillId="0" borderId="0" xfId="45" applyBorder="1" applyAlignment="1" applyProtection="1">
      <alignment horizontal="center" vertical="justify"/>
      <protection hidden="1"/>
    </xf>
    <xf numFmtId="0" fontId="19" fillId="0" borderId="0" xfId="45" applyFont="1" applyFill="1" applyAlignment="1" applyProtection="1">
      <alignment vertical="center"/>
      <protection hidden="1"/>
    </xf>
    <xf numFmtId="0" fontId="22" fillId="0" borderId="0" xfId="45" applyFont="1" applyFill="1" applyBorder="1" applyAlignment="1" applyProtection="1">
      <alignment horizontal="center" vertical="center"/>
      <protection hidden="1"/>
    </xf>
    <xf numFmtId="168" fontId="34" fillId="0" borderId="9" xfId="41" applyNumberFormat="1" applyFont="1" applyFill="1" applyBorder="1" applyAlignment="1">
      <alignment horizontal="center" vertical="center" wrapText="1"/>
    </xf>
    <xf numFmtId="1" fontId="25" fillId="0" borderId="55" xfId="41" applyNumberFormat="1" applyFont="1" applyFill="1" applyBorder="1" applyAlignment="1">
      <alignment horizontal="center" vertical="center" wrapText="1"/>
    </xf>
    <xf numFmtId="0" fontId="11" fillId="0" borderId="43" xfId="0" applyFont="1" applyBorder="1" applyAlignment="1">
      <alignment vertical="center" wrapText="1"/>
    </xf>
    <xf numFmtId="0" fontId="11" fillId="0" borderId="39" xfId="0" applyFont="1" applyBorder="1" applyAlignment="1">
      <alignment vertical="center" wrapText="1"/>
    </xf>
    <xf numFmtId="0" fontId="11" fillId="0" borderId="41" xfId="0" applyFont="1" applyBorder="1" applyAlignment="1">
      <alignment vertical="center" wrapText="1"/>
    </xf>
    <xf numFmtId="0" fontId="11" fillId="0" borderId="41" xfId="0" applyFont="1" applyBorder="1" applyAlignment="1">
      <alignment vertical="center"/>
    </xf>
    <xf numFmtId="0" fontId="22" fillId="27" borderId="19" xfId="45" applyFont="1" applyFill="1" applyBorder="1" applyAlignment="1" applyProtection="1">
      <alignment horizontal="center" vertical="center" wrapText="1"/>
      <protection hidden="1"/>
    </xf>
    <xf numFmtId="0" fontId="21" fillId="27" borderId="9" xfId="38" applyFont="1" applyFill="1" applyBorder="1" applyAlignment="1">
      <alignment horizontal="center" vertical="center" wrapText="1"/>
    </xf>
    <xf numFmtId="0" fontId="11" fillId="0" borderId="0" xfId="38" applyFont="1" applyFill="1" applyBorder="1" applyAlignment="1">
      <alignment horizontal="center" vertical="center" wrapText="1"/>
    </xf>
    <xf numFmtId="0" fontId="11" fillId="0" borderId="0" xfId="38" applyFont="1" applyFill="1" applyBorder="1" applyAlignment="1">
      <alignment horizontal="left" vertical="center" wrapText="1"/>
    </xf>
    <xf numFmtId="10" fontId="11" fillId="0" borderId="0" xfId="38" applyNumberFormat="1" applyFont="1" applyFill="1" applyBorder="1" applyAlignment="1">
      <alignment horizontal="center" vertical="center" wrapText="1"/>
    </xf>
    <xf numFmtId="49" fontId="11" fillId="0" borderId="0" xfId="38" applyNumberFormat="1" applyFont="1" applyFill="1" applyBorder="1" applyAlignment="1">
      <alignment horizontal="center" vertical="center" wrapText="1"/>
    </xf>
    <xf numFmtId="0" fontId="11" fillId="0" borderId="0" xfId="45" applyBorder="1" applyAlignment="1" applyProtection="1">
      <alignment horizontal="justify" wrapText="1"/>
      <protection hidden="1"/>
    </xf>
    <xf numFmtId="4" fontId="19" fillId="29" borderId="0" xfId="38" applyNumberFormat="1" applyFont="1" applyFill="1" applyBorder="1" applyAlignment="1" applyProtection="1">
      <alignment horizontal="center" vertical="center" wrapText="1"/>
      <protection locked="0"/>
    </xf>
    <xf numFmtId="0" fontId="19" fillId="29" borderId="0" xfId="38" applyFont="1" applyFill="1" applyBorder="1" applyAlignment="1">
      <alignment horizontal="center" vertical="center" wrapText="1"/>
    </xf>
    <xf numFmtId="0" fontId="11" fillId="29" borderId="0" xfId="45" applyFill="1" applyBorder="1" applyAlignment="1" applyProtection="1">
      <alignment horizontal="center" vertical="center"/>
      <protection hidden="1"/>
    </xf>
    <xf numFmtId="0" fontId="21" fillId="27" borderId="9" xfId="38" applyFont="1" applyFill="1" applyBorder="1" applyAlignment="1">
      <alignment horizontal="center" vertical="center" wrapText="1"/>
    </xf>
    <xf numFmtId="9" fontId="19" fillId="0" borderId="58" xfId="38" applyNumberFormat="1" applyFont="1" applyFill="1" applyBorder="1" applyAlignment="1">
      <alignment horizontal="justify" vertical="center" wrapText="1"/>
    </xf>
    <xf numFmtId="9" fontId="19" fillId="0" borderId="59" xfId="38" applyNumberFormat="1" applyFont="1" applyFill="1" applyBorder="1" applyAlignment="1">
      <alignment horizontal="justify" vertical="center" wrapText="1"/>
    </xf>
    <xf numFmtId="9" fontId="19" fillId="0" borderId="60" xfId="38" applyNumberFormat="1" applyFont="1" applyFill="1" applyBorder="1" applyAlignment="1">
      <alignment horizontal="justify" vertical="center" wrapText="1"/>
    </xf>
    <xf numFmtId="0" fontId="22" fillId="27" borderId="19" xfId="45" applyFont="1" applyFill="1" applyBorder="1" applyAlignment="1" applyProtection="1">
      <alignment horizontal="center" vertical="center" wrapText="1"/>
      <protection hidden="1"/>
    </xf>
    <xf numFmtId="0" fontId="22" fillId="27" borderId="36" xfId="45" applyFont="1" applyFill="1" applyBorder="1" applyAlignment="1" applyProtection="1">
      <alignment horizontal="center" vertical="center" wrapText="1"/>
      <protection hidden="1"/>
    </xf>
    <xf numFmtId="0" fontId="22" fillId="27" borderId="61" xfId="45" applyFont="1" applyFill="1" applyBorder="1" applyAlignment="1" applyProtection="1">
      <alignment horizontal="center" vertical="center"/>
      <protection hidden="1"/>
    </xf>
    <xf numFmtId="0" fontId="21" fillId="0" borderId="0" xfId="45" applyFont="1" applyFill="1" applyBorder="1" applyAlignment="1" applyProtection="1">
      <alignment horizontal="center" vertical="center" wrapText="1"/>
    </xf>
    <xf numFmtId="167" fontId="21" fillId="0" borderId="0" xfId="45" applyNumberFormat="1" applyFont="1" applyFill="1" applyBorder="1" applyAlignment="1" applyProtection="1">
      <alignment vertical="center" wrapText="1"/>
    </xf>
    <xf numFmtId="167" fontId="21" fillId="0" borderId="0" xfId="45" applyNumberFormat="1" applyFont="1" applyFill="1" applyBorder="1" applyAlignment="1" applyProtection="1">
      <alignment vertical="center" wrapText="1"/>
      <protection locked="0" hidden="1"/>
    </xf>
    <xf numFmtId="2" fontId="22" fillId="0" borderId="0" xfId="0" applyNumberFormat="1" applyFont="1" applyFill="1" applyBorder="1" applyAlignment="1">
      <alignment vertical="center" wrapText="1"/>
    </xf>
    <xf numFmtId="0" fontId="11" fillId="0" borderId="0" xfId="38" applyNumberFormat="1" applyFont="1" applyFill="1" applyBorder="1" applyAlignment="1">
      <alignment horizontal="center" vertical="center" wrapText="1"/>
    </xf>
    <xf numFmtId="0" fontId="11" fillId="0" borderId="0" xfId="38" applyFont="1" applyFill="1" applyBorder="1" applyAlignment="1" applyProtection="1">
      <alignment horizontal="justify" vertical="center" wrapText="1"/>
    </xf>
    <xf numFmtId="10" fontId="11" fillId="0" borderId="0" xfId="38" applyNumberFormat="1" applyFont="1" applyFill="1" applyBorder="1" applyAlignment="1" applyProtection="1">
      <alignment horizontal="center" vertical="center" wrapText="1"/>
    </xf>
    <xf numFmtId="0" fontId="19" fillId="0" borderId="0" xfId="38" applyFont="1" applyFill="1" applyBorder="1" applyAlignment="1">
      <alignment horizontal="justify" vertical="center" wrapText="1"/>
    </xf>
    <xf numFmtId="49" fontId="11" fillId="0" borderId="0" xfId="38" applyNumberFormat="1" applyFont="1" applyFill="1" applyBorder="1" applyAlignment="1" applyProtection="1">
      <alignment horizontal="center" vertical="center" wrapText="1"/>
      <protection locked="0"/>
    </xf>
    <xf numFmtId="0" fontId="11" fillId="0" borderId="0" xfId="38" applyFont="1" applyFill="1" applyBorder="1" applyAlignment="1" applyProtection="1">
      <alignment horizontal="center" vertical="center" wrapText="1"/>
      <protection locked="0"/>
    </xf>
    <xf numFmtId="9" fontId="19" fillId="0" borderId="62" xfId="38" applyNumberFormat="1" applyFont="1" applyFill="1" applyBorder="1" applyAlignment="1">
      <alignment horizontal="justify" vertical="center" wrapText="1"/>
    </xf>
    <xf numFmtId="9" fontId="19" fillId="0" borderId="63" xfId="38" applyNumberFormat="1" applyFont="1" applyFill="1" applyBorder="1" applyAlignment="1">
      <alignment horizontal="justify" vertical="center" wrapText="1"/>
    </xf>
    <xf numFmtId="9" fontId="19" fillId="0" borderId="64" xfId="38" applyNumberFormat="1" applyFont="1" applyFill="1" applyBorder="1" applyAlignment="1">
      <alignment horizontal="justify" vertical="center" wrapText="1"/>
    </xf>
    <xf numFmtId="166" fontId="11" fillId="0" borderId="9" xfId="32" applyFont="1" applyBorder="1" applyAlignment="1">
      <alignment vertical="center"/>
    </xf>
    <xf numFmtId="166" fontId="11" fillId="0" borderId="38" xfId="32" applyFont="1" applyBorder="1" applyAlignment="1">
      <alignment vertical="center"/>
    </xf>
    <xf numFmtId="0" fontId="21" fillId="0" borderId="9" xfId="37" applyFont="1" applyBorder="1" applyAlignment="1">
      <alignment horizontal="center" vertical="center" wrapText="1"/>
    </xf>
    <xf numFmtId="4" fontId="19" fillId="0" borderId="9" xfId="37" applyNumberFormat="1" applyFont="1" applyBorder="1" applyAlignment="1">
      <alignment horizontal="center" vertical="center" wrapText="1"/>
    </xf>
    <xf numFmtId="172" fontId="19" fillId="0" borderId="9" xfId="37" applyNumberFormat="1" applyFont="1" applyBorder="1" applyAlignment="1">
      <alignment horizontal="center" vertical="center" wrapText="1"/>
    </xf>
    <xf numFmtId="0" fontId="22" fillId="27" borderId="9" xfId="45" applyFont="1" applyFill="1" applyBorder="1" applyAlignment="1" applyProtection="1">
      <alignment vertical="center" wrapText="1"/>
      <protection hidden="1"/>
    </xf>
    <xf numFmtId="166" fontId="11" fillId="0" borderId="0" xfId="45" applyNumberFormat="1" applyBorder="1" applyProtection="1">
      <protection hidden="1"/>
    </xf>
    <xf numFmtId="0" fontId="0" fillId="0" borderId="9" xfId="0" applyBorder="1" applyAlignment="1">
      <alignment horizontal="center" vertical="center"/>
    </xf>
    <xf numFmtId="0" fontId="22" fillId="0" borderId="9" xfId="45" applyFont="1" applyBorder="1" applyAlignment="1" applyProtection="1">
      <alignment horizontal="center" vertical="center" wrapText="1"/>
      <protection hidden="1"/>
    </xf>
    <xf numFmtId="0" fontId="22" fillId="0" borderId="9" xfId="45" applyFont="1" applyFill="1" applyBorder="1" applyAlignment="1" applyProtection="1">
      <alignment horizontal="center" vertical="center" wrapText="1"/>
      <protection hidden="1"/>
    </xf>
    <xf numFmtId="0" fontId="22" fillId="0" borderId="55" xfId="45" applyFont="1" applyBorder="1" applyAlignment="1" applyProtection="1">
      <alignment horizontal="center" vertical="center" wrapText="1"/>
      <protection hidden="1"/>
    </xf>
    <xf numFmtId="0" fontId="22" fillId="27" borderId="38" xfId="45" applyFont="1" applyFill="1" applyBorder="1" applyAlignment="1" applyProtection="1">
      <alignment horizontal="center" vertical="center" wrapText="1"/>
      <protection hidden="1"/>
    </xf>
    <xf numFmtId="166" fontId="11" fillId="0" borderId="9" xfId="32" applyFont="1" applyFill="1" applyBorder="1" applyAlignment="1">
      <alignment vertical="center"/>
    </xf>
    <xf numFmtId="0" fontId="22" fillId="27" borderId="19" xfId="45" applyFont="1" applyFill="1" applyBorder="1" applyAlignment="1" applyProtection="1">
      <alignment horizontal="center" vertical="center" wrapText="1"/>
      <protection hidden="1"/>
    </xf>
    <xf numFmtId="0" fontId="22" fillId="27" borderId="61" xfId="45" applyFont="1" applyFill="1" applyBorder="1" applyAlignment="1" applyProtection="1">
      <alignment horizontal="center" vertical="center"/>
      <protection hidden="1"/>
    </xf>
    <xf numFmtId="166" fontId="11" fillId="0" borderId="54" xfId="45" applyNumberFormat="1" applyBorder="1" applyProtection="1">
      <protection hidden="1"/>
    </xf>
    <xf numFmtId="0" fontId="19" fillId="0" borderId="65" xfId="38" applyFont="1" applyFill="1" applyBorder="1" applyAlignment="1">
      <alignment horizontal="center" vertical="center" wrapText="1"/>
    </xf>
    <xf numFmtId="0" fontId="11" fillId="0" borderId="9" xfId="38" applyFont="1" applyFill="1" applyBorder="1" applyAlignment="1" applyProtection="1">
      <alignment horizontal="center" vertical="center" wrapText="1"/>
      <protection locked="0"/>
    </xf>
    <xf numFmtId="4" fontId="22" fillId="0" borderId="54" xfId="45" applyNumberFormat="1" applyFont="1" applyBorder="1" applyProtection="1">
      <protection hidden="1"/>
    </xf>
    <xf numFmtId="0" fontId="22" fillId="27" borderId="38" xfId="45" applyFont="1" applyFill="1" applyBorder="1" applyAlignment="1" applyProtection="1">
      <alignment vertical="center" wrapText="1"/>
      <protection hidden="1"/>
    </xf>
    <xf numFmtId="166" fontId="11" fillId="0" borderId="54" xfId="32" applyFont="1" applyBorder="1" applyAlignment="1">
      <alignment vertical="center"/>
    </xf>
    <xf numFmtId="166" fontId="11" fillId="0" borderId="54" xfId="32" applyFont="1" applyFill="1" applyBorder="1" applyAlignment="1">
      <alignment vertical="center"/>
    </xf>
    <xf numFmtId="0" fontId="22" fillId="27" borderId="19" xfId="45" applyFont="1" applyFill="1" applyBorder="1" applyAlignment="1" applyProtection="1">
      <alignment vertical="center" wrapText="1"/>
      <protection hidden="1"/>
    </xf>
    <xf numFmtId="4" fontId="22" fillId="0" borderId="15" xfId="45" applyNumberFormat="1" applyFont="1" applyBorder="1" applyProtection="1">
      <protection hidden="1"/>
    </xf>
    <xf numFmtId="166" fontId="11" fillId="0" borderId="15" xfId="45" applyNumberFormat="1" applyBorder="1" applyProtection="1">
      <protection hidden="1"/>
    </xf>
    <xf numFmtId="0" fontId="22" fillId="27" borderId="38" xfId="45" applyFont="1" applyFill="1" applyBorder="1" applyAlignment="1" applyProtection="1">
      <alignment horizontal="center" vertical="center" wrapText="1"/>
      <protection hidden="1"/>
    </xf>
    <xf numFmtId="0" fontId="11" fillId="0" borderId="0" xfId="37" applyFont="1" applyFill="1" applyBorder="1" applyAlignment="1">
      <alignment horizontal="center" vertical="center" wrapText="1"/>
    </xf>
    <xf numFmtId="0" fontId="11" fillId="0" borderId="58" xfId="38" applyFont="1" applyFill="1" applyBorder="1" applyAlignment="1">
      <alignment horizontal="center" vertical="center" wrapText="1"/>
    </xf>
    <xf numFmtId="9" fontId="11" fillId="0" borderId="54" xfId="49" applyFont="1" applyFill="1" applyBorder="1" applyAlignment="1" applyProtection="1">
      <alignment horizontal="center" vertical="center"/>
      <protection hidden="1"/>
    </xf>
    <xf numFmtId="15" fontId="11" fillId="0" borderId="54" xfId="0" applyNumberFormat="1" applyFont="1" applyFill="1" applyBorder="1" applyAlignment="1">
      <alignment horizontal="center" vertical="center"/>
    </xf>
    <xf numFmtId="0" fontId="11" fillId="0" borderId="9" xfId="45" applyFont="1" applyFill="1" applyBorder="1" applyAlignment="1" applyProtection="1">
      <alignment horizontal="center" vertical="center"/>
      <protection hidden="1"/>
    </xf>
    <xf numFmtId="0" fontId="11" fillId="0" borderId="9" xfId="37" applyFont="1" applyFill="1" applyBorder="1" applyAlignment="1">
      <alignment horizontal="center" vertical="center" wrapText="1"/>
    </xf>
    <xf numFmtId="9" fontId="11" fillId="0" borderId="9" xfId="49" applyFont="1" applyFill="1" applyBorder="1" applyAlignment="1" applyProtection="1">
      <alignment horizontal="center" vertical="center"/>
      <protection hidden="1"/>
    </xf>
    <xf numFmtId="15" fontId="11" fillId="0" borderId="9" xfId="0" applyNumberFormat="1" applyFont="1" applyFill="1" applyBorder="1" applyAlignment="1">
      <alignment horizontal="center" vertical="center"/>
    </xf>
    <xf numFmtId="15" fontId="11" fillId="0" borderId="9" xfId="37" applyNumberFormat="1" applyFont="1" applyFill="1" applyBorder="1" applyAlignment="1">
      <alignment horizontal="center" vertical="center"/>
    </xf>
    <xf numFmtId="0" fontId="11" fillId="0" borderId="38" xfId="37" applyFont="1" applyFill="1" applyBorder="1" applyAlignment="1">
      <alignment horizontal="center" vertical="center" wrapText="1"/>
    </xf>
    <xf numFmtId="15" fontId="11" fillId="0" borderId="38" xfId="37" applyNumberFormat="1" applyFont="1" applyFill="1" applyBorder="1" applyAlignment="1">
      <alignment horizontal="center" vertical="center"/>
    </xf>
    <xf numFmtId="166" fontId="11" fillId="0" borderId="38" xfId="32" applyFont="1" applyFill="1" applyBorder="1" applyAlignment="1">
      <alignment vertical="center"/>
    </xf>
    <xf numFmtId="3" fontId="22" fillId="0" borderId="66" xfId="45" applyNumberFormat="1" applyFont="1" applyFill="1" applyBorder="1" applyAlignment="1" applyProtection="1">
      <alignment horizontal="center" vertical="center"/>
      <protection hidden="1"/>
    </xf>
    <xf numFmtId="3" fontId="22" fillId="0" borderId="58" xfId="45" applyNumberFormat="1" applyFont="1" applyFill="1" applyBorder="1" applyAlignment="1" applyProtection="1">
      <alignment horizontal="center" vertical="center"/>
      <protection hidden="1"/>
    </xf>
    <xf numFmtId="0" fontId="11" fillId="0" borderId="67" xfId="45" applyFont="1" applyFill="1" applyBorder="1" applyAlignment="1" applyProtection="1">
      <alignment horizontal="justify" vertical="center" wrapText="1"/>
      <protection hidden="1"/>
    </xf>
    <xf numFmtId="9" fontId="11" fillId="0" borderId="9" xfId="37" applyNumberFormat="1" applyFont="1" applyFill="1" applyBorder="1" applyAlignment="1">
      <alignment horizontal="center" vertical="center"/>
    </xf>
    <xf numFmtId="0" fontId="11" fillId="0" borderId="68" xfId="45" applyFont="1" applyFill="1" applyBorder="1" applyAlignment="1" applyProtection="1">
      <alignment horizontal="center" vertical="center"/>
      <protection hidden="1"/>
    </xf>
    <xf numFmtId="9" fontId="11" fillId="0" borderId="19" xfId="37" applyNumberFormat="1" applyFont="1" applyFill="1" applyBorder="1" applyAlignment="1">
      <alignment horizontal="center" vertical="center"/>
    </xf>
    <xf numFmtId="0" fontId="11" fillId="0" borderId="19" xfId="45" applyFont="1" applyFill="1" applyBorder="1" applyAlignment="1" applyProtection="1">
      <alignment horizontal="center" vertical="center"/>
      <protection hidden="1"/>
    </xf>
    <xf numFmtId="0" fontId="11" fillId="0" borderId="69" xfId="45" applyFont="1" applyFill="1" applyBorder="1" applyAlignment="1" applyProtection="1">
      <alignment horizontal="center" vertical="center"/>
      <protection hidden="1"/>
    </xf>
    <xf numFmtId="9" fontId="11" fillId="0" borderId="9" xfId="48" applyFont="1" applyFill="1" applyBorder="1" applyAlignment="1" applyProtection="1">
      <alignment horizontal="center" vertical="center"/>
      <protection hidden="1"/>
    </xf>
    <xf numFmtId="9" fontId="11" fillId="0" borderId="68" xfId="48" applyFont="1" applyFill="1" applyBorder="1" applyAlignment="1" applyProtection="1">
      <alignment horizontal="center" vertical="center"/>
      <protection hidden="1"/>
    </xf>
    <xf numFmtId="4" fontId="11" fillId="0" borderId="9" xfId="48" applyNumberFormat="1" applyFont="1" applyFill="1" applyBorder="1" applyAlignment="1" applyProtection="1">
      <alignment horizontal="center" vertical="center"/>
      <protection hidden="1"/>
    </xf>
    <xf numFmtId="15" fontId="11" fillId="0" borderId="9" xfId="45" applyNumberFormat="1" applyFont="1" applyFill="1" applyBorder="1" applyAlignment="1" applyProtection="1">
      <alignment horizontal="center" vertical="center"/>
      <protection hidden="1"/>
    </xf>
    <xf numFmtId="9" fontId="11" fillId="0" borderId="38" xfId="48" applyFont="1" applyFill="1" applyBorder="1" applyAlignment="1" applyProtection="1">
      <alignment horizontal="center" vertical="center"/>
      <protection hidden="1"/>
    </xf>
    <xf numFmtId="0" fontId="11" fillId="0" borderId="38" xfId="45" applyFont="1" applyFill="1" applyBorder="1" applyAlignment="1" applyProtection="1">
      <alignment horizontal="center" vertical="center"/>
      <protection hidden="1"/>
    </xf>
    <xf numFmtId="0" fontId="11" fillId="0" borderId="9" xfId="45" applyFont="1" applyFill="1" applyBorder="1" applyAlignment="1" applyProtection="1">
      <alignment horizontal="center" vertical="center" wrapText="1"/>
      <protection hidden="1"/>
    </xf>
    <xf numFmtId="0" fontId="11" fillId="0" borderId="38" xfId="45" applyFont="1" applyFill="1" applyBorder="1" applyAlignment="1" applyProtection="1">
      <alignment horizontal="center" vertical="center" wrapText="1"/>
      <protection hidden="1"/>
    </xf>
    <xf numFmtId="9" fontId="11" fillId="0" borderId="38" xfId="49" applyFont="1" applyFill="1" applyBorder="1" applyAlignment="1" applyProtection="1">
      <alignment horizontal="center" vertical="center"/>
      <protection hidden="1"/>
    </xf>
    <xf numFmtId="4" fontId="22" fillId="0" borderId="70" xfId="45" applyNumberFormat="1" applyFont="1" applyBorder="1" applyProtection="1">
      <protection hidden="1"/>
    </xf>
    <xf numFmtId="4" fontId="22" fillId="0" borderId="71" xfId="45" applyNumberFormat="1" applyFont="1" applyBorder="1" applyProtection="1">
      <protection hidden="1"/>
    </xf>
    <xf numFmtId="0" fontId="11" fillId="0" borderId="72" xfId="45" applyFont="1" applyFill="1" applyBorder="1" applyAlignment="1" applyProtection="1">
      <alignment horizontal="justify" vertical="center" wrapText="1"/>
      <protection hidden="1"/>
    </xf>
    <xf numFmtId="3" fontId="22" fillId="0" borderId="66" xfId="45" applyNumberFormat="1" applyFont="1" applyFill="1" applyBorder="1" applyAlignment="1" applyProtection="1">
      <alignment vertical="center"/>
      <protection hidden="1"/>
    </xf>
    <xf numFmtId="3" fontId="22" fillId="0" borderId="58" xfId="45" applyNumberFormat="1" applyFont="1" applyFill="1" applyBorder="1" applyAlignment="1" applyProtection="1">
      <alignment vertical="center"/>
      <protection hidden="1"/>
    </xf>
    <xf numFmtId="9" fontId="11" fillId="0" borderId="9" xfId="48" applyFont="1" applyFill="1" applyBorder="1" applyAlignment="1" applyProtection="1">
      <alignment horizontal="center" vertical="center" wrapText="1"/>
      <protection hidden="1"/>
    </xf>
    <xf numFmtId="9" fontId="11" fillId="0" borderId="38" xfId="48" applyFont="1" applyFill="1" applyBorder="1" applyAlignment="1" applyProtection="1">
      <alignment horizontal="center" vertical="center" wrapText="1"/>
      <protection hidden="1"/>
    </xf>
    <xf numFmtId="15" fontId="11" fillId="0" borderId="38" xfId="45" applyNumberFormat="1" applyFont="1" applyFill="1" applyBorder="1" applyAlignment="1" applyProtection="1">
      <alignment horizontal="center" vertical="center"/>
      <protection hidden="1"/>
    </xf>
    <xf numFmtId="4" fontId="11" fillId="0" borderId="38" xfId="48" applyNumberFormat="1" applyFont="1" applyFill="1" applyBorder="1" applyAlignment="1" applyProtection="1">
      <alignment horizontal="center" vertical="center"/>
      <protection hidden="1"/>
    </xf>
    <xf numFmtId="0" fontId="22" fillId="0" borderId="18" xfId="45" applyFont="1" applyBorder="1" applyAlignment="1" applyProtection="1">
      <protection hidden="1"/>
    </xf>
    <xf numFmtId="0" fontId="22" fillId="0" borderId="73" xfId="45" applyFont="1" applyBorder="1" applyAlignment="1" applyProtection="1">
      <protection hidden="1"/>
    </xf>
    <xf numFmtId="0" fontId="22" fillId="0" borderId="74" xfId="45" applyFont="1" applyBorder="1" applyAlignment="1" applyProtection="1">
      <protection hidden="1"/>
    </xf>
    <xf numFmtId="0" fontId="22" fillId="0" borderId="0" xfId="45" applyFont="1" applyBorder="1" applyAlignment="1" applyProtection="1">
      <protection hidden="1"/>
    </xf>
    <xf numFmtId="0" fontId="0" fillId="0" borderId="0" xfId="0" applyBorder="1"/>
    <xf numFmtId="0" fontId="11" fillId="0" borderId="9" xfId="37" applyFont="1" applyFill="1" applyBorder="1" applyAlignment="1">
      <alignment horizontal="center" vertical="center"/>
    </xf>
    <xf numFmtId="4" fontId="19" fillId="0" borderId="50" xfId="38" applyNumberFormat="1" applyFont="1" applyFill="1" applyBorder="1" applyAlignment="1" applyProtection="1">
      <alignment horizontal="center" vertical="center" wrapText="1"/>
      <protection locked="0"/>
    </xf>
    <xf numFmtId="0" fontId="11" fillId="0" borderId="75" xfId="45" applyFill="1" applyBorder="1" applyAlignment="1" applyProtection="1">
      <alignment horizontal="center" vertical="center"/>
      <protection hidden="1"/>
    </xf>
    <xf numFmtId="4" fontId="19" fillId="0" borderId="9" xfId="38" applyNumberFormat="1" applyFont="1" applyFill="1" applyBorder="1" applyAlignment="1" applyProtection="1">
      <alignment horizontal="center" vertical="center" wrapText="1"/>
      <protection locked="0"/>
    </xf>
    <xf numFmtId="0" fontId="11" fillId="0" borderId="67" xfId="45" applyFill="1" applyBorder="1" applyAlignment="1" applyProtection="1">
      <alignment horizontal="center" vertical="center"/>
      <protection hidden="1"/>
    </xf>
    <xf numFmtId="4" fontId="19" fillId="0" borderId="38" xfId="38" applyNumberFormat="1" applyFont="1" applyFill="1" applyBorder="1" applyAlignment="1" applyProtection="1">
      <alignment horizontal="center" vertical="center" wrapText="1"/>
      <protection locked="0"/>
    </xf>
    <xf numFmtId="0" fontId="11" fillId="0" borderId="72" xfId="45" applyFill="1" applyBorder="1" applyAlignment="1" applyProtection="1">
      <alignment horizontal="center" vertical="center"/>
      <protection hidden="1"/>
    </xf>
    <xf numFmtId="0" fontId="11" fillId="0" borderId="54" xfId="38" applyFont="1" applyFill="1" applyBorder="1" applyAlignment="1" applyProtection="1">
      <alignment horizontal="center" vertical="center" wrapText="1"/>
      <protection locked="0"/>
    </xf>
    <xf numFmtId="0" fontId="11" fillId="0" borderId="38" xfId="38" applyFont="1" applyFill="1" applyBorder="1" applyAlignment="1" applyProtection="1">
      <alignment horizontal="center" vertical="center" wrapText="1"/>
      <protection locked="0"/>
    </xf>
    <xf numFmtId="0" fontId="11" fillId="0" borderId="76" xfId="38" applyFont="1" applyFill="1" applyBorder="1" applyAlignment="1">
      <alignment horizontal="center" vertical="center" wrapText="1"/>
    </xf>
    <xf numFmtId="0" fontId="11" fillId="0" borderId="66" xfId="38" applyFont="1" applyFill="1" applyBorder="1" applyAlignment="1">
      <alignment horizontal="center" vertical="center" wrapText="1"/>
    </xf>
    <xf numFmtId="0" fontId="11" fillId="0" borderId="38" xfId="37" applyFont="1" applyFill="1" applyBorder="1" applyAlignment="1">
      <alignment horizontal="center" vertical="center"/>
    </xf>
    <xf numFmtId="9" fontId="11" fillId="0" borderId="38" xfId="37" applyNumberFormat="1" applyFont="1" applyFill="1" applyBorder="1" applyAlignment="1">
      <alignment horizontal="center" vertical="center"/>
    </xf>
    <xf numFmtId="0" fontId="11" fillId="0" borderId="54" xfId="45" applyFont="1" applyFill="1" applyBorder="1" applyAlignment="1" applyProtection="1">
      <alignment horizontal="center" vertical="center" wrapText="1"/>
      <protection hidden="1"/>
    </xf>
    <xf numFmtId="0" fontId="22" fillId="0" borderId="77" xfId="45" applyFont="1" applyFill="1" applyBorder="1" applyAlignment="1" applyProtection="1">
      <alignment horizontal="center" vertical="center"/>
      <protection hidden="1"/>
    </xf>
    <xf numFmtId="0" fontId="22" fillId="0" borderId="66" xfId="45" applyFont="1" applyFill="1" applyBorder="1" applyAlignment="1" applyProtection="1">
      <alignment horizontal="center" vertical="center"/>
      <protection hidden="1"/>
    </xf>
    <xf numFmtId="0" fontId="22" fillId="0" borderId="48" xfId="38" applyNumberFormat="1" applyFont="1" applyFill="1" applyBorder="1" applyAlignment="1" applyProtection="1">
      <alignment horizontal="center" vertical="center" wrapText="1"/>
      <protection locked="0"/>
    </xf>
    <xf numFmtId="0" fontId="21" fillId="0" borderId="9" xfId="38" applyFont="1" applyFill="1" applyBorder="1" applyAlignment="1">
      <alignment horizontal="center" vertical="center" wrapText="1"/>
    </xf>
    <xf numFmtId="0" fontId="11" fillId="0" borderId="69" xfId="37" applyFont="1" applyFill="1" applyBorder="1" applyAlignment="1">
      <alignment horizontal="center" vertical="center" wrapText="1"/>
    </xf>
    <xf numFmtId="4" fontId="22" fillId="0" borderId="15" xfId="45" applyNumberFormat="1" applyFont="1" applyBorder="1" applyAlignment="1" applyProtection="1">
      <alignment horizontal="center"/>
      <protection hidden="1"/>
    </xf>
    <xf numFmtId="0" fontId="21" fillId="27" borderId="9" xfId="38" applyFont="1" applyFill="1" applyBorder="1" applyAlignment="1">
      <alignment horizontal="center" vertical="center" wrapText="1"/>
    </xf>
    <xf numFmtId="0" fontId="22" fillId="27" borderId="61" xfId="45" applyFont="1" applyFill="1" applyBorder="1" applyAlignment="1" applyProtection="1">
      <alignment horizontal="center" vertical="center"/>
      <protection hidden="1"/>
    </xf>
    <xf numFmtId="0" fontId="22" fillId="27" borderId="19" xfId="45" applyFont="1" applyFill="1" applyBorder="1" applyAlignment="1" applyProtection="1">
      <alignment horizontal="center" vertical="center" wrapText="1"/>
      <protection hidden="1"/>
    </xf>
    <xf numFmtId="0" fontId="22" fillId="27" borderId="36" xfId="45" applyFont="1" applyFill="1" applyBorder="1" applyAlignment="1" applyProtection="1">
      <alignment horizontal="center" vertical="center" wrapText="1"/>
      <protection hidden="1"/>
    </xf>
    <xf numFmtId="0" fontId="0" fillId="0" borderId="0" xfId="0" quotePrefix="1" applyFill="1" applyBorder="1" applyAlignment="1">
      <alignment horizontal="right" vertical="center" wrapText="1"/>
    </xf>
    <xf numFmtId="0" fontId="43" fillId="0" borderId="81" xfId="0" applyFont="1" applyBorder="1" applyAlignment="1">
      <alignment horizontal="center" vertical="center"/>
    </xf>
    <xf numFmtId="0" fontId="43" fillId="0" borderId="55" xfId="0" applyFont="1" applyBorder="1" applyAlignment="1">
      <alignment horizontal="center" vertical="center"/>
    </xf>
    <xf numFmtId="49" fontId="41" fillId="0" borderId="82" xfId="0" applyNumberFormat="1" applyFont="1" applyBorder="1" applyAlignment="1">
      <alignment horizontal="center" vertical="center" wrapText="1"/>
    </xf>
    <xf numFmtId="0" fontId="0" fillId="0" borderId="82" xfId="0" applyBorder="1" applyAlignment="1">
      <alignment vertical="center"/>
    </xf>
    <xf numFmtId="9" fontId="0" fillId="0" borderId="83" xfId="48" applyFont="1" applyBorder="1" applyAlignment="1">
      <alignment horizontal="center" vertical="center"/>
    </xf>
    <xf numFmtId="0" fontId="11" fillId="0" borderId="9" xfId="45" applyBorder="1" applyAlignment="1" applyProtection="1">
      <alignment horizontal="center" vertical="center"/>
      <protection hidden="1"/>
    </xf>
    <xf numFmtId="0" fontId="21" fillId="27" borderId="9" xfId="38" applyFont="1" applyFill="1" applyBorder="1" applyAlignment="1">
      <alignment horizontal="center" vertical="center" wrapText="1"/>
    </xf>
    <xf numFmtId="0" fontId="11" fillId="29" borderId="9" xfId="37" applyFont="1" applyFill="1" applyBorder="1" applyAlignment="1">
      <alignment horizontal="center" vertical="center" wrapText="1"/>
    </xf>
    <xf numFmtId="9" fontId="11" fillId="29" borderId="9" xfId="48" applyFont="1" applyFill="1" applyBorder="1" applyAlignment="1" applyProtection="1">
      <alignment horizontal="center" vertical="center"/>
      <protection hidden="1"/>
    </xf>
    <xf numFmtId="4" fontId="11" fillId="29" borderId="9" xfId="48" applyNumberFormat="1" applyFont="1" applyFill="1" applyBorder="1" applyAlignment="1" applyProtection="1">
      <alignment horizontal="center" vertical="center"/>
      <protection hidden="1"/>
    </xf>
    <xf numFmtId="0" fontId="11" fillId="29" borderId="0" xfId="45" applyFont="1" applyFill="1" applyBorder="1" applyAlignment="1" applyProtection="1">
      <alignment horizontal="center" vertical="justify"/>
      <protection hidden="1"/>
    </xf>
    <xf numFmtId="0" fontId="11" fillId="29" borderId="0" xfId="45" applyFont="1" applyFill="1" applyProtection="1">
      <protection hidden="1"/>
    </xf>
    <xf numFmtId="4" fontId="11" fillId="29" borderId="0" xfId="45" applyNumberFormat="1" applyFont="1" applyFill="1" applyProtection="1">
      <protection hidden="1"/>
    </xf>
    <xf numFmtId="0" fontId="11" fillId="0" borderId="0" xfId="45" applyFill="1" applyBorder="1" applyAlignment="1" applyProtection="1">
      <alignment horizontal="center" vertical="justify"/>
      <protection hidden="1"/>
    </xf>
    <xf numFmtId="0" fontId="11" fillId="0" borderId="0" xfId="45" applyFill="1" applyProtection="1">
      <protection hidden="1"/>
    </xf>
    <xf numFmtId="4" fontId="11" fillId="0" borderId="0" xfId="45" applyNumberFormat="1" applyFill="1" applyProtection="1">
      <protection hidden="1"/>
    </xf>
    <xf numFmtId="0" fontId="11" fillId="0" borderId="38" xfId="45" applyBorder="1" applyAlignment="1" applyProtection="1">
      <alignment horizontal="center" vertical="center"/>
      <protection hidden="1"/>
    </xf>
    <xf numFmtId="0" fontId="41" fillId="0" borderId="0" xfId="43"/>
    <xf numFmtId="0" fontId="41" fillId="0" borderId="75" xfId="43" applyBorder="1" applyAlignment="1">
      <alignment horizontal="left" vertical="center"/>
    </xf>
    <xf numFmtId="0" fontId="43" fillId="0" borderId="9" xfId="43" applyFont="1" applyBorder="1" applyAlignment="1">
      <alignment horizontal="center" vertical="center"/>
    </xf>
    <xf numFmtId="0" fontId="41" fillId="0" borderId="9" xfId="43" applyBorder="1" applyAlignment="1">
      <alignment horizontal="left" vertical="center" wrapText="1"/>
    </xf>
    <xf numFmtId="0" fontId="41" fillId="0" borderId="9" xfId="43" applyBorder="1" applyAlignment="1">
      <alignment horizontal="center" vertical="center"/>
    </xf>
    <xf numFmtId="0" fontId="41" fillId="0" borderId="9" xfId="43" applyBorder="1" applyAlignment="1">
      <alignment vertical="center" wrapText="1"/>
    </xf>
    <xf numFmtId="173" fontId="41" fillId="0" borderId="9" xfId="43" applyNumberFormat="1" applyBorder="1" applyAlignment="1">
      <alignment vertical="center"/>
    </xf>
    <xf numFmtId="0" fontId="41" fillId="0" borderId="9" xfId="43" applyBorder="1" applyAlignment="1">
      <alignment vertical="center"/>
    </xf>
    <xf numFmtId="173" fontId="41" fillId="0" borderId="68" xfId="43" applyNumberFormat="1" applyBorder="1" applyAlignment="1">
      <alignment horizontal="center" vertical="center"/>
    </xf>
    <xf numFmtId="0" fontId="41" fillId="0" borderId="68" xfId="43" applyBorder="1" applyAlignment="1">
      <alignment vertical="center"/>
    </xf>
    <xf numFmtId="173" fontId="41" fillId="0" borderId="54" xfId="43" applyNumberFormat="1" applyBorder="1" applyAlignment="1">
      <alignment vertical="center"/>
    </xf>
    <xf numFmtId="173" fontId="41" fillId="0" borderId="84" xfId="43" applyNumberFormat="1" applyBorder="1" applyAlignment="1">
      <alignment vertical="center"/>
    </xf>
    <xf numFmtId="173" fontId="41" fillId="0" borderId="9" xfId="43" applyNumberFormat="1" applyBorder="1"/>
    <xf numFmtId="0" fontId="19" fillId="0" borderId="68" xfId="38" applyFont="1" applyFill="1" applyBorder="1" applyAlignment="1">
      <alignment horizontal="center" vertical="center" wrapText="1"/>
    </xf>
    <xf numFmtId="2" fontId="41" fillId="0" borderId="0" xfId="43" applyNumberFormat="1"/>
    <xf numFmtId="0" fontId="22" fillId="27" borderId="19" xfId="45" applyFont="1" applyFill="1" applyBorder="1" applyAlignment="1" applyProtection="1">
      <alignment horizontal="center" vertical="center" wrapText="1"/>
      <protection hidden="1"/>
    </xf>
    <xf numFmtId="0" fontId="22" fillId="27" borderId="38" xfId="45" applyFont="1" applyFill="1" applyBorder="1" applyAlignment="1" applyProtection="1">
      <alignment horizontal="center" vertical="center" wrapText="1"/>
      <protection hidden="1"/>
    </xf>
    <xf numFmtId="0" fontId="22" fillId="27" borderId="36" xfId="45" applyFont="1" applyFill="1" applyBorder="1" applyAlignment="1" applyProtection="1">
      <alignment horizontal="center" vertical="center" wrapText="1"/>
      <protection hidden="1"/>
    </xf>
    <xf numFmtId="0" fontId="25" fillId="0" borderId="19" xfId="45" applyFont="1" applyBorder="1" applyAlignment="1" applyProtection="1">
      <alignment vertical="center"/>
      <protection hidden="1"/>
    </xf>
    <xf numFmtId="0" fontId="25" fillId="0" borderId="9" xfId="45" applyFont="1" applyBorder="1" applyAlignment="1" applyProtection="1">
      <alignment vertical="center"/>
      <protection hidden="1"/>
    </xf>
    <xf numFmtId="4" fontId="19" fillId="0" borderId="68" xfId="37" applyNumberFormat="1" applyFont="1" applyBorder="1" applyAlignment="1">
      <alignment horizontal="center" vertical="center" wrapText="1"/>
    </xf>
    <xf numFmtId="4" fontId="19" fillId="0" borderId="0" xfId="37" applyNumberFormat="1" applyFont="1" applyBorder="1" applyAlignment="1">
      <alignment horizontal="center" vertical="center" wrapText="1"/>
    </xf>
    <xf numFmtId="172" fontId="19" fillId="0" borderId="0" xfId="37" applyNumberFormat="1" applyFont="1" applyBorder="1" applyAlignment="1">
      <alignment horizontal="center" vertical="center" wrapText="1"/>
    </xf>
    <xf numFmtId="0" fontId="21" fillId="0" borderId="54" xfId="38" applyFont="1" applyFill="1" applyBorder="1" applyAlignment="1">
      <alignment horizontal="center" vertical="center" wrapText="1"/>
    </xf>
    <xf numFmtId="0" fontId="25" fillId="0" borderId="0" xfId="45" applyFont="1" applyBorder="1" applyAlignment="1" applyProtection="1">
      <alignment vertical="center"/>
      <protection hidden="1"/>
    </xf>
    <xf numFmtId="0" fontId="22" fillId="27" borderId="68" xfId="45" applyFont="1" applyFill="1" applyBorder="1" applyAlignment="1" applyProtection="1">
      <alignment horizontal="center" vertical="center" wrapText="1"/>
      <protection hidden="1"/>
    </xf>
    <xf numFmtId="4" fontId="11" fillId="0" borderId="68" xfId="48" applyNumberFormat="1" applyFont="1" applyFill="1" applyBorder="1" applyAlignment="1" applyProtection="1">
      <alignment horizontal="center" vertical="center"/>
      <protection hidden="1"/>
    </xf>
    <xf numFmtId="3" fontId="22" fillId="0" borderId="77" xfId="45" applyNumberFormat="1" applyFont="1" applyFill="1" applyBorder="1" applyAlignment="1" applyProtection="1">
      <alignment vertical="center"/>
      <protection hidden="1"/>
    </xf>
    <xf numFmtId="15" fontId="37" fillId="29" borderId="9" xfId="46" applyNumberFormat="1" applyFont="1" applyFill="1" applyBorder="1" applyAlignment="1">
      <alignment horizontal="center" vertical="center"/>
    </xf>
    <xf numFmtId="0" fontId="22" fillId="0" borderId="68" xfId="45" applyFont="1" applyBorder="1" applyAlignment="1" applyProtection="1">
      <alignment vertical="center"/>
      <protection hidden="1"/>
    </xf>
    <xf numFmtId="0" fontId="22" fillId="0" borderId="38" xfId="45" applyFont="1" applyBorder="1" applyAlignment="1" applyProtection="1">
      <alignment vertical="center"/>
      <protection hidden="1"/>
    </xf>
    <xf numFmtId="0" fontId="22" fillId="27" borderId="24" xfId="45" applyFont="1" applyFill="1" applyBorder="1" applyAlignment="1" applyProtection="1">
      <alignment horizontal="center" vertical="center" wrapText="1"/>
      <protection hidden="1"/>
    </xf>
    <xf numFmtId="4" fontId="11" fillId="0" borderId="9" xfId="48" applyNumberFormat="1" applyFont="1" applyFill="1" applyBorder="1" applyAlignment="1" applyProtection="1">
      <alignment horizontal="right" vertical="center"/>
      <protection hidden="1"/>
    </xf>
    <xf numFmtId="4" fontId="11" fillId="0" borderId="0" xfId="45" applyNumberFormat="1" applyAlignment="1" applyProtection="1">
      <alignment vertical="center"/>
      <protection hidden="1"/>
    </xf>
    <xf numFmtId="0" fontId="25" fillId="0" borderId="38" xfId="45" applyFont="1" applyFill="1" applyBorder="1" applyAlignment="1" applyProtection="1">
      <alignment vertical="center"/>
      <protection hidden="1"/>
    </xf>
    <xf numFmtId="9" fontId="11" fillId="0" borderId="69" xfId="37" applyNumberFormat="1" applyFont="1" applyFill="1" applyBorder="1" applyAlignment="1">
      <alignment horizontal="center" vertical="center"/>
    </xf>
    <xf numFmtId="15" fontId="11" fillId="0" borderId="69" xfId="37" applyNumberFormat="1" applyFont="1" applyFill="1" applyBorder="1" applyAlignment="1">
      <alignment horizontal="center" vertical="center"/>
    </xf>
    <xf numFmtId="170" fontId="11" fillId="0" borderId="54" xfId="45" applyNumberFormat="1" applyBorder="1" applyProtection="1">
      <protection hidden="1"/>
    </xf>
    <xf numFmtId="170" fontId="11" fillId="0" borderId="19" xfId="45" applyNumberFormat="1" applyBorder="1" applyProtection="1">
      <protection hidden="1"/>
    </xf>
    <xf numFmtId="0" fontId="25" fillId="0" borderId="38" xfId="45" applyFont="1" applyBorder="1" applyAlignment="1" applyProtection="1">
      <alignment vertical="center"/>
      <protection hidden="1"/>
    </xf>
    <xf numFmtId="15" fontId="11" fillId="29" borderId="9" xfId="37" applyNumberFormat="1" applyFont="1" applyFill="1" applyBorder="1" applyAlignment="1">
      <alignment horizontal="center" vertical="center"/>
    </xf>
    <xf numFmtId="166" fontId="11" fillId="29" borderId="9" xfId="32" applyFont="1" applyFill="1" applyBorder="1" applyAlignment="1">
      <alignment vertical="center"/>
    </xf>
    <xf numFmtId="3" fontId="22" fillId="29" borderId="66" xfId="45" applyNumberFormat="1" applyFont="1" applyFill="1" applyBorder="1" applyAlignment="1" applyProtection="1">
      <alignment horizontal="center" vertical="center"/>
      <protection hidden="1"/>
    </xf>
    <xf numFmtId="0" fontId="11" fillId="29" borderId="0" xfId="45" applyFill="1" applyProtection="1">
      <protection hidden="1"/>
    </xf>
    <xf numFmtId="0" fontId="22" fillId="0" borderId="78" xfId="45" applyFont="1" applyFill="1" applyBorder="1" applyAlignment="1" applyProtection="1">
      <alignment horizontal="center" vertical="center" wrapText="1"/>
      <protection hidden="1"/>
    </xf>
    <xf numFmtId="0" fontId="22" fillId="0" borderId="80" xfId="0" applyFont="1" applyBorder="1" applyAlignment="1">
      <alignment horizontal="center" vertical="center"/>
    </xf>
    <xf numFmtId="4" fontId="11" fillId="29" borderId="68" xfId="48" applyNumberFormat="1" applyFont="1" applyFill="1" applyBorder="1" applyAlignment="1" applyProtection="1">
      <alignment horizontal="center" vertical="center"/>
      <protection hidden="1"/>
    </xf>
    <xf numFmtId="0" fontId="11" fillId="29" borderId="0" xfId="45" applyFill="1" applyBorder="1" applyAlignment="1" applyProtection="1">
      <alignment horizontal="center" vertical="justify"/>
      <protection hidden="1"/>
    </xf>
    <xf numFmtId="4" fontId="11" fillId="29" borderId="0" xfId="45" applyNumberFormat="1" applyFill="1" applyProtection="1">
      <protection hidden="1"/>
    </xf>
    <xf numFmtId="4" fontId="11" fillId="29" borderId="38" xfId="48" applyNumberFormat="1" applyFont="1" applyFill="1" applyBorder="1" applyAlignment="1" applyProtection="1">
      <alignment horizontal="center" vertical="center"/>
      <protection hidden="1"/>
    </xf>
    <xf numFmtId="9" fontId="11" fillId="29" borderId="68" xfId="48" applyFont="1" applyFill="1" applyBorder="1" applyAlignment="1" applyProtection="1">
      <alignment horizontal="center" vertical="center"/>
      <protection hidden="1"/>
    </xf>
    <xf numFmtId="0" fontId="11" fillId="29" borderId="9" xfId="37" applyFont="1" applyFill="1" applyBorder="1" applyAlignment="1">
      <alignment horizontal="center" vertical="center"/>
    </xf>
    <xf numFmtId="9" fontId="11" fillId="29" borderId="9" xfId="37" applyNumberFormat="1" applyFont="1" applyFill="1" applyBorder="1" applyAlignment="1">
      <alignment horizontal="center" vertical="center"/>
    </xf>
    <xf numFmtId="0" fontId="25" fillId="29" borderId="9" xfId="45" applyFont="1" applyFill="1" applyBorder="1" applyAlignment="1" applyProtection="1">
      <alignment vertical="center"/>
      <protection hidden="1"/>
    </xf>
    <xf numFmtId="9" fontId="0" fillId="0" borderId="42" xfId="48" applyNumberFormat="1" applyFont="1" applyBorder="1" applyAlignment="1">
      <alignment horizontal="center" vertical="center"/>
    </xf>
    <xf numFmtId="0" fontId="11" fillId="0" borderId="82" xfId="0" applyFont="1" applyBorder="1" applyAlignment="1">
      <alignment vertical="center" wrapText="1"/>
    </xf>
    <xf numFmtId="0" fontId="41" fillId="0" borderId="9" xfId="43" applyBorder="1" applyAlignment="1">
      <alignment horizontal="center"/>
    </xf>
    <xf numFmtId="0" fontId="41" fillId="0" borderId="9" xfId="43" applyBorder="1" applyAlignment="1">
      <alignment horizontal="justify" vertical="center" wrapText="1"/>
    </xf>
    <xf numFmtId="0" fontId="22" fillId="27" borderId="36" xfId="45" applyFont="1" applyFill="1" applyBorder="1" applyAlignment="1" applyProtection="1">
      <alignment horizontal="center" vertical="center" wrapText="1"/>
      <protection hidden="1"/>
    </xf>
    <xf numFmtId="0" fontId="22" fillId="27" borderId="19" xfId="45" applyFont="1" applyFill="1" applyBorder="1" applyAlignment="1" applyProtection="1">
      <alignment horizontal="center" vertical="center" wrapText="1"/>
      <protection hidden="1"/>
    </xf>
    <xf numFmtId="0" fontId="21" fillId="27" borderId="9" xfId="38" applyFont="1" applyFill="1" applyBorder="1" applyAlignment="1">
      <alignment horizontal="center" vertical="center" wrapText="1"/>
    </xf>
    <xf numFmtId="0" fontId="22" fillId="27" borderId="61" xfId="45" applyFont="1" applyFill="1" applyBorder="1" applyAlignment="1" applyProtection="1">
      <alignment horizontal="center" vertical="center"/>
      <protection hidden="1"/>
    </xf>
    <xf numFmtId="0" fontId="41" fillId="0" borderId="9" xfId="43" applyBorder="1" applyAlignment="1">
      <alignment horizontal="center" vertical="justify"/>
    </xf>
    <xf numFmtId="0" fontId="41" fillId="0" borderId="9" xfId="43" applyBorder="1" applyAlignment="1">
      <alignment horizontal="center" vertical="center" wrapText="1"/>
    </xf>
    <xf numFmtId="4" fontId="41" fillId="0" borderId="9" xfId="43" applyNumberFormat="1" applyBorder="1" applyAlignment="1">
      <alignment horizontal="right" vertical="center" wrapText="1"/>
    </xf>
    <xf numFmtId="0" fontId="41" fillId="0" borderId="9" xfId="43" applyBorder="1" applyAlignment="1">
      <alignment horizontal="right"/>
    </xf>
    <xf numFmtId="0" fontId="25" fillId="0" borderId="9" xfId="45" applyFont="1" applyFill="1" applyBorder="1" applyAlignment="1" applyProtection="1">
      <alignment vertical="center"/>
      <protection hidden="1"/>
    </xf>
    <xf numFmtId="37" fontId="11" fillId="30" borderId="38" xfId="35" applyNumberFormat="1" applyFont="1" applyFill="1" applyBorder="1" applyAlignment="1">
      <alignment horizontal="center" vertical="center" wrapText="1"/>
    </xf>
    <xf numFmtId="9" fontId="11" fillId="0" borderId="69" xfId="48" applyFont="1" applyFill="1" applyBorder="1" applyAlignment="1" applyProtection="1">
      <alignment horizontal="center" vertical="center"/>
      <protection hidden="1"/>
    </xf>
    <xf numFmtId="0" fontId="0" fillId="0" borderId="129" xfId="0" applyBorder="1" applyAlignment="1">
      <alignment horizontal="left" vertical="center" wrapText="1"/>
    </xf>
    <xf numFmtId="0" fontId="38" fillId="0" borderId="129" xfId="0" applyFont="1" applyBorder="1" applyAlignment="1">
      <alignment horizontal="left" vertical="center" wrapText="1"/>
    </xf>
    <xf numFmtId="3" fontId="0" fillId="0" borderId="129" xfId="0" applyNumberFormat="1" applyBorder="1" applyAlignment="1">
      <alignment horizontal="left" vertical="center" wrapText="1"/>
    </xf>
    <xf numFmtId="166" fontId="11" fillId="29" borderId="19" xfId="32" applyFont="1" applyFill="1" applyBorder="1" applyAlignment="1">
      <alignment vertical="center"/>
    </xf>
    <xf numFmtId="0" fontId="22" fillId="27" borderId="38" xfId="45" applyFont="1" applyFill="1" applyBorder="1" applyAlignment="1" applyProtection="1">
      <alignment horizontal="center" vertical="center" wrapText="1"/>
      <protection hidden="1"/>
    </xf>
    <xf numFmtId="0" fontId="22" fillId="27" borderId="36" xfId="45" applyFont="1" applyFill="1" applyBorder="1" applyAlignment="1" applyProtection="1">
      <alignment horizontal="center" vertical="center" wrapText="1"/>
      <protection hidden="1"/>
    </xf>
    <xf numFmtId="0" fontId="11" fillId="29" borderId="66" xfId="38" applyFont="1" applyFill="1" applyBorder="1" applyAlignment="1">
      <alignment horizontal="center" vertical="center" wrapText="1"/>
    </xf>
    <xf numFmtId="0" fontId="11" fillId="29" borderId="67" xfId="45" applyFill="1" applyBorder="1" applyAlignment="1" applyProtection="1">
      <alignment horizontal="center" vertical="center"/>
      <protection hidden="1"/>
    </xf>
    <xf numFmtId="9" fontId="11" fillId="29" borderId="54" xfId="49" applyFont="1" applyFill="1" applyBorder="1" applyAlignment="1" applyProtection="1">
      <alignment horizontal="center" vertical="center"/>
      <protection hidden="1"/>
    </xf>
    <xf numFmtId="174" fontId="11" fillId="29" borderId="54" xfId="32" applyNumberFormat="1" applyFont="1" applyFill="1" applyBorder="1" applyAlignment="1">
      <alignment vertical="center"/>
    </xf>
    <xf numFmtId="0" fontId="22" fillId="29" borderId="54" xfId="45" applyFont="1" applyFill="1" applyBorder="1" applyAlignment="1" applyProtection="1">
      <alignment vertical="center" wrapText="1"/>
      <protection hidden="1"/>
    </xf>
    <xf numFmtId="9" fontId="11" fillId="29" borderId="9" xfId="49" applyFont="1" applyFill="1" applyBorder="1" applyAlignment="1" applyProtection="1">
      <alignment horizontal="center" vertical="center"/>
      <protection hidden="1"/>
    </xf>
    <xf numFmtId="170" fontId="11" fillId="29" borderId="9" xfId="32" applyNumberFormat="1" applyFont="1" applyFill="1" applyBorder="1" applyAlignment="1">
      <alignment vertical="center"/>
    </xf>
    <xf numFmtId="174" fontId="11" fillId="29" borderId="9" xfId="32" applyNumberFormat="1" applyFont="1" applyFill="1" applyBorder="1" applyAlignment="1">
      <alignment vertical="center"/>
    </xf>
    <xf numFmtId="0" fontId="11" fillId="29" borderId="38" xfId="37" applyFont="1" applyFill="1" applyBorder="1" applyAlignment="1">
      <alignment horizontal="center" vertical="center" wrapText="1"/>
    </xf>
    <xf numFmtId="171" fontId="11" fillId="29" borderId="38" xfId="49" applyNumberFormat="1" applyFont="1" applyFill="1" applyBorder="1" applyAlignment="1" applyProtection="1">
      <alignment horizontal="center" vertical="center"/>
      <protection hidden="1"/>
    </xf>
    <xf numFmtId="15" fontId="11" fillId="29" borderId="38" xfId="37" applyNumberFormat="1" applyFont="1" applyFill="1" applyBorder="1" applyAlignment="1">
      <alignment horizontal="center" vertical="center"/>
    </xf>
    <xf numFmtId="170" fontId="11" fillId="29" borderId="38" xfId="32" applyNumberFormat="1" applyFont="1" applyFill="1" applyBorder="1" applyAlignment="1">
      <alignment vertical="center"/>
    </xf>
    <xf numFmtId="174" fontId="11" fillId="29" borderId="38" xfId="32" applyNumberFormat="1" applyFont="1" applyFill="1" applyBorder="1" applyAlignment="1">
      <alignment vertical="center"/>
    </xf>
    <xf numFmtId="3" fontId="22" fillId="0" borderId="66" xfId="45" applyNumberFormat="1" applyFont="1" applyFill="1" applyBorder="1" applyAlignment="1" applyProtection="1">
      <alignment horizontal="right" vertical="center"/>
      <protection hidden="1"/>
    </xf>
    <xf numFmtId="3" fontId="22" fillId="0" borderId="58" xfId="45" applyNumberFormat="1" applyFont="1" applyFill="1" applyBorder="1" applyAlignment="1" applyProtection="1">
      <alignment horizontal="right" vertical="center"/>
      <protection hidden="1"/>
    </xf>
    <xf numFmtId="0" fontId="11" fillId="0" borderId="80" xfId="38" applyFont="1" applyFill="1" applyBorder="1" applyAlignment="1">
      <alignment horizontal="center" vertical="center" wrapText="1"/>
    </xf>
    <xf numFmtId="16" fontId="11" fillId="29" borderId="9" xfId="45" applyNumberFormat="1" applyFont="1" applyFill="1" applyBorder="1" applyAlignment="1" applyProtection="1">
      <alignment horizontal="center" vertical="center"/>
      <protection hidden="1"/>
    </xf>
    <xf numFmtId="4" fontId="11" fillId="0" borderId="85" xfId="45" applyNumberFormat="1" applyFill="1" applyBorder="1" applyAlignment="1" applyProtection="1">
      <protection hidden="1"/>
    </xf>
    <xf numFmtId="4" fontId="11" fillId="0" borderId="71" xfId="45" applyNumberFormat="1" applyFill="1" applyBorder="1" applyAlignment="1" applyProtection="1">
      <protection hidden="1"/>
    </xf>
    <xf numFmtId="4" fontId="11" fillId="0" borderId="86" xfId="45" applyNumberFormat="1" applyFill="1" applyBorder="1" applyAlignment="1" applyProtection="1">
      <protection hidden="1"/>
    </xf>
    <xf numFmtId="4" fontId="11" fillId="0" borderId="87" xfId="45" applyNumberFormat="1" applyFill="1" applyBorder="1" applyAlignment="1" applyProtection="1">
      <protection hidden="1"/>
    </xf>
    <xf numFmtId="4" fontId="11" fillId="0" borderId="0" xfId="45" applyNumberFormat="1" applyFill="1" applyBorder="1" applyAlignment="1" applyProtection="1">
      <protection hidden="1"/>
    </xf>
    <xf numFmtId="4" fontId="11" fillId="0" borderId="88" xfId="45" applyNumberFormat="1" applyFill="1" applyBorder="1" applyAlignment="1" applyProtection="1">
      <protection hidden="1"/>
    </xf>
    <xf numFmtId="3" fontId="22" fillId="29" borderId="66" xfId="45" applyNumberFormat="1" applyFont="1" applyFill="1" applyBorder="1" applyAlignment="1" applyProtection="1">
      <alignment vertical="center"/>
      <protection hidden="1"/>
    </xf>
    <xf numFmtId="171" fontId="11" fillId="0" borderId="9" xfId="49" applyNumberFormat="1" applyFont="1" applyFill="1" applyBorder="1" applyAlignment="1" applyProtection="1">
      <alignment horizontal="center" vertical="center"/>
      <protection hidden="1"/>
    </xf>
    <xf numFmtId="3" fontId="22" fillId="29" borderId="77" xfId="45" applyNumberFormat="1" applyFont="1" applyFill="1" applyBorder="1" applyAlignment="1" applyProtection="1">
      <alignment vertical="center"/>
      <protection hidden="1"/>
    </xf>
    <xf numFmtId="0" fontId="11" fillId="29" borderId="9" xfId="45" applyFont="1" applyFill="1" applyBorder="1" applyAlignment="1" applyProtection="1">
      <alignment horizontal="center" vertical="center"/>
      <protection hidden="1"/>
    </xf>
    <xf numFmtId="166" fontId="11" fillId="0" borderId="9" xfId="32" applyFont="1" applyFill="1" applyBorder="1" applyAlignment="1" applyProtection="1">
      <alignment horizontal="center" vertical="center"/>
      <protection hidden="1"/>
    </xf>
    <xf numFmtId="0" fontId="11" fillId="0" borderId="0" xfId="45" applyFill="1" applyAlignment="1" applyProtection="1">
      <alignment horizontal="center" vertical="center"/>
      <protection hidden="1"/>
    </xf>
    <xf numFmtId="0" fontId="11" fillId="0" borderId="9" xfId="45" applyFill="1" applyBorder="1" applyAlignment="1" applyProtection="1">
      <alignment horizontal="center" vertical="center"/>
      <protection hidden="1"/>
    </xf>
    <xf numFmtId="9" fontId="11" fillId="30" borderId="9" xfId="37" applyNumberFormat="1" applyFont="1" applyFill="1" applyBorder="1" applyAlignment="1">
      <alignment horizontal="center" vertical="center"/>
    </xf>
    <xf numFmtId="0" fontId="11" fillId="30" borderId="9" xfId="45" applyFont="1" applyFill="1" applyBorder="1" applyAlignment="1" applyProtection="1">
      <alignment horizontal="center" vertical="center"/>
      <protection hidden="1"/>
    </xf>
    <xf numFmtId="0" fontId="11" fillId="30" borderId="0" xfId="45" applyFill="1" applyBorder="1" applyAlignment="1" applyProtection="1">
      <alignment horizontal="center" vertical="justify"/>
      <protection hidden="1"/>
    </xf>
    <xf numFmtId="0" fontId="11" fillId="30" borderId="0" xfId="45" applyFill="1" applyProtection="1">
      <protection hidden="1"/>
    </xf>
    <xf numFmtId="4" fontId="11" fillId="30" borderId="0" xfId="45" applyNumberFormat="1" applyFill="1" applyProtection="1">
      <protection hidden="1"/>
    </xf>
    <xf numFmtId="3" fontId="22" fillId="0" borderId="77" xfId="45" quotePrefix="1" applyNumberFormat="1" applyFont="1" applyFill="1" applyBorder="1" applyAlignment="1" applyProtection="1">
      <alignment horizontal="center" vertical="center"/>
      <protection hidden="1"/>
    </xf>
    <xf numFmtId="3" fontId="22" fillId="0" borderId="77" xfId="45" quotePrefix="1" applyNumberFormat="1" applyFont="1" applyFill="1" applyBorder="1" applyAlignment="1" applyProtection="1">
      <alignment vertical="center"/>
      <protection hidden="1"/>
    </xf>
    <xf numFmtId="0" fontId="39" fillId="0" borderId="9" xfId="37" applyFont="1" applyFill="1" applyBorder="1" applyAlignment="1">
      <alignment horizontal="center" vertical="center" wrapText="1"/>
    </xf>
    <xf numFmtId="14" fontId="11" fillId="0" borderId="9" xfId="37" applyNumberFormat="1" applyFont="1" applyFill="1" applyBorder="1" applyAlignment="1">
      <alignment horizontal="center" vertical="center" wrapText="1"/>
    </xf>
    <xf numFmtId="175" fontId="39" fillId="0" borderId="9" xfId="37" applyNumberFormat="1" applyFont="1" applyFill="1" applyBorder="1" applyAlignment="1">
      <alignment horizontal="center" vertical="center"/>
    </xf>
    <xf numFmtId="15" fontId="39" fillId="0" borderId="9" xfId="0" applyNumberFormat="1" applyFont="1" applyFill="1" applyBorder="1" applyAlignment="1">
      <alignment horizontal="center" vertical="center" wrapText="1"/>
    </xf>
    <xf numFmtId="3" fontId="11" fillId="0" borderId="77" xfId="45" applyNumberFormat="1" applyFont="1" applyFill="1" applyBorder="1" applyAlignment="1" applyProtection="1">
      <alignment horizontal="center" vertical="center"/>
      <protection hidden="1"/>
    </xf>
    <xf numFmtId="3" fontId="11" fillId="0" borderId="66" xfId="45" applyNumberFormat="1" applyFont="1" applyFill="1" applyBorder="1" applyAlignment="1" applyProtection="1">
      <alignment horizontal="center" vertical="center"/>
      <protection hidden="1"/>
    </xf>
    <xf numFmtId="3" fontId="11" fillId="0" borderId="58" xfId="45" applyNumberFormat="1" applyFont="1" applyFill="1" applyBorder="1" applyAlignment="1" applyProtection="1">
      <alignment horizontal="center" vertical="center"/>
      <protection hidden="1"/>
    </xf>
    <xf numFmtId="0" fontId="22" fillId="27" borderId="38" xfId="45" applyFont="1" applyFill="1" applyBorder="1" applyAlignment="1" applyProtection="1">
      <alignment horizontal="center" vertical="center" wrapText="1"/>
      <protection hidden="1"/>
    </xf>
    <xf numFmtId="0" fontId="11" fillId="29" borderId="9" xfId="45" applyFont="1" applyFill="1" applyBorder="1" applyAlignment="1" applyProtection="1">
      <alignment horizontal="center" vertical="center"/>
      <protection hidden="1"/>
    </xf>
    <xf numFmtId="0" fontId="22" fillId="27" borderId="19" xfId="45" applyFont="1" applyFill="1" applyBorder="1" applyAlignment="1" applyProtection="1">
      <alignment horizontal="center" vertical="center" wrapText="1"/>
      <protection hidden="1"/>
    </xf>
    <xf numFmtId="0" fontId="11" fillId="29" borderId="38" xfId="45" applyFont="1" applyFill="1" applyBorder="1" applyAlignment="1" applyProtection="1">
      <alignment horizontal="center" vertical="center"/>
      <protection hidden="1"/>
    </xf>
    <xf numFmtId="0" fontId="22" fillId="0" borderId="58" xfId="45" applyFont="1" applyFill="1" applyBorder="1" applyAlignment="1" applyProtection="1">
      <alignment horizontal="center" vertical="center"/>
      <protection hidden="1"/>
    </xf>
    <xf numFmtId="0" fontId="11" fillId="29" borderId="67" xfId="45" applyFont="1" applyFill="1" applyBorder="1" applyAlignment="1" applyProtection="1">
      <alignment horizontal="justify" vertical="center" wrapText="1"/>
      <protection hidden="1"/>
    </xf>
    <xf numFmtId="0" fontId="11" fillId="30" borderId="38" xfId="45" applyFont="1" applyFill="1" applyBorder="1" applyAlignment="1" applyProtection="1">
      <alignment horizontal="center" vertical="center"/>
      <protection hidden="1"/>
    </xf>
    <xf numFmtId="0" fontId="22" fillId="0" borderId="38" xfId="45" applyFont="1" applyFill="1" applyBorder="1" applyAlignment="1" applyProtection="1">
      <alignment vertical="center" wrapText="1"/>
      <protection hidden="1"/>
    </xf>
    <xf numFmtId="16" fontId="11" fillId="0" borderId="38" xfId="45" applyNumberFormat="1" applyFont="1" applyFill="1" applyBorder="1" applyAlignment="1" applyProtection="1">
      <alignment horizontal="center" vertical="center"/>
      <protection hidden="1"/>
    </xf>
    <xf numFmtId="4" fontId="11" fillId="0" borderId="89" xfId="45" applyNumberFormat="1" applyFill="1" applyBorder="1" applyAlignment="1" applyProtection="1">
      <protection hidden="1"/>
    </xf>
    <xf numFmtId="4" fontId="11" fillId="0" borderId="90" xfId="45" applyNumberFormat="1" applyFill="1" applyBorder="1" applyAlignment="1" applyProtection="1">
      <protection hidden="1"/>
    </xf>
    <xf numFmtId="4" fontId="11" fillId="0" borderId="91" xfId="45" applyNumberFormat="1" applyFill="1" applyBorder="1" applyAlignment="1" applyProtection="1">
      <protection hidden="1"/>
    </xf>
    <xf numFmtId="0" fontId="11" fillId="30" borderId="9" xfId="37" applyFont="1" applyFill="1" applyBorder="1" applyAlignment="1">
      <alignment horizontal="center" vertical="center"/>
    </xf>
    <xf numFmtId="0" fontId="11" fillId="30" borderId="9" xfId="37" applyFont="1" applyFill="1" applyBorder="1" applyAlignment="1">
      <alignment horizontal="center" vertical="center" wrapText="1"/>
    </xf>
    <xf numFmtId="15" fontId="11" fillId="30" borderId="9" xfId="37" applyNumberFormat="1" applyFont="1" applyFill="1" applyBorder="1" applyAlignment="1">
      <alignment horizontal="center" vertical="center"/>
    </xf>
    <xf numFmtId="166" fontId="11" fillId="30" borderId="9" xfId="32" applyFont="1" applyFill="1" applyBorder="1" applyAlignment="1">
      <alignment vertical="center"/>
    </xf>
    <xf numFmtId="9" fontId="11" fillId="29" borderId="9" xfId="50" applyFont="1" applyFill="1" applyBorder="1" applyAlignment="1" applyProtection="1">
      <alignment horizontal="center" vertical="center"/>
      <protection hidden="1"/>
    </xf>
    <xf numFmtId="9" fontId="11" fillId="0" borderId="9" xfId="50" applyFont="1" applyFill="1" applyBorder="1" applyAlignment="1" applyProtection="1">
      <alignment horizontal="center" vertical="center"/>
      <protection hidden="1"/>
    </xf>
    <xf numFmtId="166" fontId="11" fillId="0" borderId="9" xfId="32" applyFont="1" applyBorder="1" applyAlignment="1">
      <alignment horizontal="center" vertical="center"/>
    </xf>
    <xf numFmtId="0" fontId="11" fillId="0" borderId="54" xfId="37" applyFont="1" applyFill="1" applyBorder="1" applyAlignment="1">
      <alignment horizontal="center" vertical="center"/>
    </xf>
    <xf numFmtId="0" fontId="11" fillId="0" borderId="54" xfId="37" applyFont="1" applyFill="1" applyBorder="1" applyAlignment="1">
      <alignment horizontal="center" vertical="center" wrapText="1"/>
    </xf>
    <xf numFmtId="15" fontId="11" fillId="0" borderId="54" xfId="37" applyNumberFormat="1" applyFont="1" applyFill="1" applyBorder="1" applyAlignment="1">
      <alignment horizontal="center" vertical="center"/>
    </xf>
    <xf numFmtId="9" fontId="11" fillId="0" borderId="54" xfId="37" applyNumberFormat="1" applyFont="1" applyFill="1" applyBorder="1" applyAlignment="1">
      <alignment horizontal="center" vertical="center"/>
    </xf>
    <xf numFmtId="0" fontId="22" fillId="29" borderId="84" xfId="45" applyFont="1" applyFill="1" applyBorder="1" applyAlignment="1" applyProtection="1">
      <alignment vertical="center"/>
      <protection hidden="1"/>
    </xf>
    <xf numFmtId="0" fontId="22" fillId="29" borderId="9" xfId="45" applyFont="1" applyFill="1" applyBorder="1" applyAlignment="1" applyProtection="1">
      <alignment vertical="center"/>
      <protection hidden="1"/>
    </xf>
    <xf numFmtId="4" fontId="0" fillId="26" borderId="9" xfId="0" applyNumberFormat="1" applyFill="1" applyBorder="1" applyAlignment="1">
      <alignment vertical="center"/>
    </xf>
    <xf numFmtId="4" fontId="11" fillId="30" borderId="68" xfId="48" applyNumberFormat="1" applyFont="1" applyFill="1" applyBorder="1" applyAlignment="1" applyProtection="1">
      <alignment horizontal="center" vertical="center"/>
      <protection hidden="1"/>
    </xf>
    <xf numFmtId="0" fontId="11" fillId="30" borderId="38" xfId="37" applyFont="1" applyFill="1" applyBorder="1" applyAlignment="1">
      <alignment horizontal="center" vertical="center"/>
    </xf>
    <xf numFmtId="15" fontId="11" fillId="30" borderId="69" xfId="37" applyNumberFormat="1" applyFont="1" applyFill="1" applyBorder="1" applyAlignment="1">
      <alignment horizontal="center" vertical="center"/>
    </xf>
    <xf numFmtId="0" fontId="11" fillId="0" borderId="66" xfId="45" applyFont="1" applyFill="1" applyBorder="1" applyAlignment="1" applyProtection="1">
      <alignment horizontal="center" vertical="center"/>
      <protection hidden="1"/>
    </xf>
    <xf numFmtId="0" fontId="11" fillId="29" borderId="67" xfId="45" applyFont="1" applyFill="1" applyBorder="1" applyAlignment="1" applyProtection="1">
      <alignment horizontal="justify" vertical="center" wrapText="1"/>
      <protection hidden="1"/>
    </xf>
    <xf numFmtId="0" fontId="11" fillId="0" borderId="75" xfId="45" applyFont="1" applyFill="1" applyBorder="1" applyAlignment="1" applyProtection="1">
      <alignment horizontal="justify" vertical="center" wrapText="1"/>
      <protection hidden="1"/>
    </xf>
    <xf numFmtId="15" fontId="11" fillId="30" borderId="38" xfId="37" applyNumberFormat="1" applyFont="1" applyFill="1" applyBorder="1" applyAlignment="1">
      <alignment horizontal="center" vertical="center" wrapText="1"/>
    </xf>
    <xf numFmtId="0" fontId="22" fillId="0" borderId="19" xfId="45" applyFont="1" applyFill="1" applyBorder="1" applyAlignment="1" applyProtection="1">
      <alignment vertical="center" wrapText="1"/>
      <protection hidden="1"/>
    </xf>
    <xf numFmtId="0" fontId="22" fillId="0" borderId="9" xfId="45" applyFont="1" applyFill="1" applyBorder="1" applyAlignment="1" applyProtection="1">
      <alignment vertical="center" wrapText="1"/>
      <protection hidden="1"/>
    </xf>
    <xf numFmtId="0" fontId="0" fillId="28" borderId="9" xfId="0" applyFill="1" applyBorder="1" applyAlignment="1">
      <alignment horizontal="center" vertical="center"/>
    </xf>
    <xf numFmtId="170" fontId="11" fillId="0" borderId="54" xfId="32" applyNumberFormat="1" applyFont="1" applyFill="1" applyBorder="1" applyAlignment="1">
      <alignment vertical="center"/>
    </xf>
    <xf numFmtId="15" fontId="11" fillId="0" borderId="54" xfId="45" applyNumberFormat="1" applyFont="1" applyFill="1" applyBorder="1" applyAlignment="1" applyProtection="1">
      <alignment horizontal="center" vertical="center"/>
      <protection hidden="1"/>
    </xf>
    <xf numFmtId="9" fontId="11" fillId="0" borderId="54" xfId="48" applyFont="1" applyFill="1" applyBorder="1" applyAlignment="1" applyProtection="1">
      <alignment horizontal="center" vertical="center"/>
      <protection hidden="1"/>
    </xf>
    <xf numFmtId="4" fontId="11" fillId="0" borderId="54" xfId="48" applyNumberFormat="1" applyFont="1" applyFill="1" applyBorder="1" applyAlignment="1" applyProtection="1">
      <alignment horizontal="center" vertical="center"/>
      <protection hidden="1"/>
    </xf>
    <xf numFmtId="0" fontId="25" fillId="0" borderId="54" xfId="45" applyFont="1" applyBorder="1" applyAlignment="1" applyProtection="1">
      <alignment vertical="center"/>
      <protection hidden="1"/>
    </xf>
    <xf numFmtId="0" fontId="11" fillId="0" borderId="9" xfId="45" applyFont="1" applyFill="1" applyBorder="1" applyAlignment="1" applyProtection="1">
      <alignment horizontal="justify" vertical="center" wrapText="1"/>
      <protection hidden="1"/>
    </xf>
    <xf numFmtId="0" fontId="11" fillId="0" borderId="84" xfId="45" applyFont="1" applyFill="1" applyBorder="1" applyAlignment="1" applyProtection="1">
      <alignment horizontal="center" vertical="center"/>
      <protection hidden="1"/>
    </xf>
    <xf numFmtId="0" fontId="22" fillId="27" borderId="36" xfId="45" applyFont="1" applyFill="1" applyBorder="1" applyAlignment="1" applyProtection="1">
      <alignment horizontal="center" vertical="center" wrapText="1"/>
      <protection hidden="1"/>
    </xf>
    <xf numFmtId="0" fontId="22" fillId="27" borderId="19" xfId="45" applyFont="1" applyFill="1" applyBorder="1" applyAlignment="1" applyProtection="1">
      <alignment horizontal="center" vertical="center" wrapText="1"/>
      <protection hidden="1"/>
    </xf>
    <xf numFmtId="0" fontId="22" fillId="27" borderId="92" xfId="45" applyFont="1" applyFill="1" applyBorder="1" applyAlignment="1" applyProtection="1">
      <alignment horizontal="center" vertical="center"/>
      <protection hidden="1"/>
    </xf>
    <xf numFmtId="15" fontId="11" fillId="0" borderId="69" xfId="0" applyNumberFormat="1" applyFont="1" applyFill="1" applyBorder="1" applyAlignment="1">
      <alignment horizontal="center" vertical="center"/>
    </xf>
    <xf numFmtId="0" fontId="11" fillId="0" borderId="69" xfId="37" applyFont="1" applyFill="1" applyBorder="1" applyAlignment="1">
      <alignment horizontal="center" vertical="center"/>
    </xf>
    <xf numFmtId="166" fontId="11" fillId="0" borderId="69" xfId="32" applyFont="1" applyFill="1" applyBorder="1" applyAlignment="1">
      <alignment vertical="center"/>
    </xf>
    <xf numFmtId="0" fontId="22" fillId="0" borderId="38" xfId="45" applyFont="1" applyFill="1" applyBorder="1" applyAlignment="1" applyProtection="1">
      <alignment horizontal="center" vertical="center" wrapText="1"/>
      <protection hidden="1"/>
    </xf>
    <xf numFmtId="0" fontId="22" fillId="0" borderId="19" xfId="45" applyFont="1" applyFill="1" applyBorder="1" applyAlignment="1" applyProtection="1">
      <alignment horizontal="center" vertical="center" wrapText="1"/>
      <protection hidden="1"/>
    </xf>
    <xf numFmtId="0" fontId="11" fillId="0" borderId="66" xfId="45" applyFont="1" applyFill="1" applyBorder="1" applyAlignment="1" applyProtection="1">
      <alignment horizontal="center" vertical="center" wrapText="1"/>
      <protection hidden="1"/>
    </xf>
    <xf numFmtId="4" fontId="0" fillId="26" borderId="9" xfId="0" applyNumberFormat="1" applyFill="1" applyBorder="1" applyAlignment="1">
      <alignment horizontal="right" vertical="center"/>
    </xf>
    <xf numFmtId="0" fontId="40" fillId="0" borderId="0" xfId="45" applyFont="1" applyProtection="1">
      <protection hidden="1"/>
    </xf>
    <xf numFmtId="174" fontId="11" fillId="0" borderId="9" xfId="32" applyNumberFormat="1" applyFont="1" applyFill="1" applyBorder="1" applyAlignment="1">
      <alignment vertical="center"/>
    </xf>
    <xf numFmtId="37" fontId="11" fillId="0" borderId="93" xfId="0" applyNumberFormat="1" applyFont="1" applyBorder="1" applyAlignment="1">
      <alignment horizontal="left" wrapText="1"/>
    </xf>
    <xf numFmtId="37" fontId="11" fillId="0" borderId="78" xfId="0" applyNumberFormat="1" applyFont="1" applyBorder="1" applyAlignment="1">
      <alignment horizontal="left" wrapText="1"/>
    </xf>
    <xf numFmtId="3" fontId="11" fillId="0" borderId="78" xfId="45" applyNumberFormat="1" applyFont="1" applyFill="1" applyBorder="1" applyAlignment="1" applyProtection="1">
      <alignment horizontal="justify" vertical="center" wrapText="1"/>
      <protection hidden="1"/>
    </xf>
    <xf numFmtId="0" fontId="19" fillId="0" borderId="87" xfId="38" applyFont="1" applyFill="1" applyBorder="1" applyAlignment="1">
      <alignment horizontal="center" vertical="center" wrapText="1"/>
    </xf>
    <xf numFmtId="3" fontId="11" fillId="0" borderId="9" xfId="45" applyNumberFormat="1" applyFont="1" applyFill="1" applyBorder="1" applyAlignment="1" applyProtection="1">
      <alignment horizontal="justify" vertical="center" wrapText="1"/>
      <protection hidden="1"/>
    </xf>
    <xf numFmtId="3" fontId="11" fillId="0" borderId="9" xfId="38" applyNumberFormat="1" applyFont="1" applyFill="1" applyBorder="1" applyAlignment="1" applyProtection="1">
      <alignment horizontal="left" vertical="center" wrapText="1"/>
      <protection hidden="1"/>
    </xf>
    <xf numFmtId="3" fontId="11" fillId="0" borderId="9" xfId="38" applyNumberFormat="1" applyFont="1" applyFill="1" applyBorder="1" applyAlignment="1" applyProtection="1">
      <alignment horizontal="justify" vertical="center" wrapText="1"/>
      <protection hidden="1"/>
    </xf>
    <xf numFmtId="1" fontId="25" fillId="0" borderId="56" xfId="41" applyNumberFormat="1" applyFont="1" applyFill="1" applyBorder="1" applyAlignment="1">
      <alignment horizontal="center" vertical="center" wrapText="1"/>
    </xf>
    <xf numFmtId="168" fontId="34" fillId="0" borderId="38" xfId="41" applyNumberFormat="1" applyFont="1" applyFill="1" applyBorder="1" applyAlignment="1">
      <alignment horizontal="center" vertical="center" wrapText="1"/>
    </xf>
    <xf numFmtId="3" fontId="22" fillId="0" borderId="38" xfId="38" applyNumberFormat="1" applyFont="1" applyFill="1" applyBorder="1" applyAlignment="1" applyProtection="1">
      <alignment horizontal="center" vertical="center" wrapText="1"/>
      <protection hidden="1"/>
    </xf>
    <xf numFmtId="0" fontId="11" fillId="0" borderId="78" xfId="38" applyFont="1" applyBorder="1" applyAlignment="1" applyProtection="1">
      <alignment wrapText="1"/>
      <protection hidden="1"/>
    </xf>
    <xf numFmtId="0" fontId="11" fillId="0" borderId="0" xfId="0" applyFont="1" applyBorder="1" applyAlignment="1">
      <alignment vertical="center" wrapText="1"/>
    </xf>
    <xf numFmtId="0" fontId="43" fillId="0" borderId="56" xfId="0" applyFont="1" applyBorder="1" applyAlignment="1">
      <alignment horizontal="center" vertical="center"/>
    </xf>
    <xf numFmtId="0" fontId="0" fillId="0" borderId="80" xfId="0" applyBorder="1" applyAlignment="1">
      <alignment horizontal="left" vertical="center" wrapText="1"/>
    </xf>
    <xf numFmtId="1" fontId="11" fillId="0" borderId="0" xfId="38" applyNumberFormat="1" applyFont="1" applyProtection="1">
      <protection hidden="1"/>
    </xf>
    <xf numFmtId="0" fontId="22" fillId="0" borderId="0" xfId="38" applyFont="1" applyProtection="1">
      <protection hidden="1"/>
    </xf>
    <xf numFmtId="1" fontId="22" fillId="0" borderId="9" xfId="38" applyNumberFormat="1" applyFont="1" applyBorder="1" applyAlignment="1" applyProtection="1">
      <alignment wrapText="1"/>
      <protection hidden="1"/>
    </xf>
    <xf numFmtId="0" fontId="11" fillId="0" borderId="78" xfId="38" applyFont="1" applyBorder="1" applyAlignment="1" applyProtection="1">
      <alignment horizontal="center" vertical="center"/>
      <protection hidden="1"/>
    </xf>
    <xf numFmtId="1" fontId="22" fillId="0" borderId="38" xfId="38" applyNumberFormat="1" applyFont="1" applyBorder="1" applyAlignment="1" applyProtection="1">
      <alignment wrapText="1"/>
      <protection hidden="1"/>
    </xf>
    <xf numFmtId="0" fontId="11" fillId="0" borderId="80" xfId="38" applyFont="1" applyBorder="1" applyAlignment="1" applyProtection="1">
      <alignment horizontal="center" vertical="center"/>
      <protection hidden="1"/>
    </xf>
    <xf numFmtId="1" fontId="22" fillId="0" borderId="54" xfId="38" applyNumberFormat="1" applyFont="1" applyBorder="1" applyAlignment="1" applyProtection="1">
      <alignment wrapText="1"/>
      <protection hidden="1"/>
    </xf>
    <xf numFmtId="0" fontId="11" fillId="0" borderId="79" xfId="38" applyFont="1" applyBorder="1" applyAlignment="1" applyProtection="1">
      <alignment horizontal="center" vertical="center"/>
      <protection hidden="1"/>
    </xf>
    <xf numFmtId="0" fontId="22" fillId="0" borderId="45" xfId="38" applyFont="1" applyBorder="1" applyAlignment="1" applyProtection="1">
      <alignment horizontal="center" vertical="center" wrapText="1"/>
      <protection hidden="1"/>
    </xf>
    <xf numFmtId="0" fontId="22" fillId="0" borderId="24" xfId="38" applyFont="1" applyBorder="1" applyAlignment="1" applyProtection="1">
      <alignment horizontal="center" vertical="center" wrapText="1"/>
      <protection hidden="1"/>
    </xf>
    <xf numFmtId="0" fontId="22" fillId="0" borderId="46" xfId="38" applyFont="1" applyBorder="1" applyAlignment="1" applyProtection="1">
      <alignment horizontal="center" wrapText="1"/>
      <protection hidden="1"/>
    </xf>
    <xf numFmtId="1" fontId="22" fillId="0" borderId="53" xfId="38" applyNumberFormat="1" applyFont="1" applyBorder="1" applyAlignment="1" applyProtection="1">
      <alignment horizontal="center" vertical="center" wrapText="1"/>
      <protection hidden="1"/>
    </xf>
    <xf numFmtId="1" fontId="22" fillId="0" borderId="55" xfId="38" applyNumberFormat="1" applyFont="1" applyBorder="1" applyAlignment="1" applyProtection="1">
      <alignment horizontal="center" vertical="center" wrapText="1"/>
      <protection hidden="1"/>
    </xf>
    <xf numFmtId="1" fontId="22" fillId="0" borderId="56" xfId="38" applyNumberFormat="1" applyFont="1" applyBorder="1" applyAlignment="1" applyProtection="1">
      <alignment horizontal="center" vertical="center" wrapText="1"/>
      <protection hidden="1"/>
    </xf>
    <xf numFmtId="0" fontId="0" fillId="30" borderId="9" xfId="0" applyFill="1" applyBorder="1" applyAlignment="1">
      <alignment horizontal="center" vertical="center"/>
    </xf>
    <xf numFmtId="0" fontId="0" fillId="0" borderId="9" xfId="0" applyFill="1" applyBorder="1" applyAlignment="1">
      <alignment horizontal="center" vertical="center"/>
    </xf>
    <xf numFmtId="0" fontId="11" fillId="0" borderId="78" xfId="38" applyFont="1" applyBorder="1" applyAlignment="1" applyProtection="1">
      <alignment horizontal="center" vertical="center" wrapText="1"/>
      <protection hidden="1"/>
    </xf>
    <xf numFmtId="0" fontId="11" fillId="0" borderId="80" xfId="38" applyFont="1" applyBorder="1" applyAlignment="1" applyProtection="1">
      <protection hidden="1"/>
    </xf>
    <xf numFmtId="0" fontId="11" fillId="0" borderId="38" xfId="38" applyFont="1" applyFill="1" applyBorder="1" applyAlignment="1" applyProtection="1">
      <alignment wrapText="1"/>
      <protection hidden="1"/>
    </xf>
    <xf numFmtId="3" fontId="11" fillId="28" borderId="9" xfId="38" applyNumberFormat="1" applyFont="1" applyFill="1" applyBorder="1" applyAlignment="1" applyProtection="1">
      <alignment horizontal="justify" vertical="center" wrapText="1"/>
      <protection hidden="1"/>
    </xf>
    <xf numFmtId="0" fontId="11" fillId="28" borderId="78" xfId="38" applyFont="1" applyFill="1" applyBorder="1" applyAlignment="1" applyProtection="1">
      <alignment wrapText="1"/>
      <protection hidden="1"/>
    </xf>
    <xf numFmtId="3" fontId="19" fillId="28" borderId="9" xfId="38" applyNumberFormat="1" applyFont="1" applyFill="1" applyBorder="1" applyAlignment="1" applyProtection="1">
      <alignment horizontal="justify" vertical="center" wrapText="1"/>
      <protection hidden="1"/>
    </xf>
    <xf numFmtId="3" fontId="22" fillId="30" borderId="9" xfId="38" applyNumberFormat="1" applyFont="1" applyFill="1" applyBorder="1" applyAlignment="1" applyProtection="1">
      <alignment horizontal="center" vertical="center" wrapText="1"/>
      <protection hidden="1"/>
    </xf>
    <xf numFmtId="4" fontId="11" fillId="0" borderId="59" xfId="45" applyNumberFormat="1" applyFill="1" applyBorder="1" applyAlignment="1" applyProtection="1">
      <alignment vertical="center" wrapText="1"/>
      <protection hidden="1"/>
    </xf>
    <xf numFmtId="4" fontId="11" fillId="0" borderId="60" xfId="45" applyNumberFormat="1" applyFill="1" applyBorder="1" applyAlignment="1" applyProtection="1">
      <alignment vertical="center" wrapText="1"/>
      <protection hidden="1"/>
    </xf>
    <xf numFmtId="0" fontId="11" fillId="30" borderId="38" xfId="37" applyFont="1" applyFill="1" applyBorder="1" applyAlignment="1">
      <alignment horizontal="center" vertical="center" wrapText="1"/>
    </xf>
    <xf numFmtId="9" fontId="11" fillId="30" borderId="69" xfId="37" applyNumberFormat="1" applyFont="1" applyFill="1" applyBorder="1" applyAlignment="1">
      <alignment horizontal="center" vertical="center"/>
    </xf>
    <xf numFmtId="166" fontId="11" fillId="30" borderId="38" xfId="32" applyFont="1" applyFill="1" applyBorder="1" applyAlignment="1">
      <alignment vertical="center"/>
    </xf>
    <xf numFmtId="4" fontId="11" fillId="30" borderId="38" xfId="48" applyNumberFormat="1" applyFont="1" applyFill="1" applyBorder="1" applyAlignment="1" applyProtection="1">
      <alignment horizontal="center" vertical="center"/>
      <protection hidden="1"/>
    </xf>
    <xf numFmtId="0" fontId="22" fillId="0" borderId="0" xfId="0" applyFont="1" applyBorder="1" applyAlignment="1">
      <alignment horizontal="center" vertical="center"/>
    </xf>
    <xf numFmtId="0" fontId="22" fillId="0" borderId="0" xfId="0" applyFont="1"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30" fillId="25" borderId="94" xfId="44" applyFont="1" applyFill="1" applyBorder="1" applyAlignment="1">
      <alignment horizontal="center"/>
    </xf>
    <xf numFmtId="0" fontId="30" fillId="25" borderId="95" xfId="44" applyFont="1" applyFill="1" applyBorder="1" applyAlignment="1">
      <alignment horizontal="center"/>
    </xf>
    <xf numFmtId="0" fontId="30" fillId="25" borderId="96" xfId="44" applyFont="1" applyFill="1" applyBorder="1" applyAlignment="1">
      <alignment horizontal="center"/>
    </xf>
    <xf numFmtId="0" fontId="31" fillId="25" borderId="97" xfId="44" applyFont="1" applyFill="1" applyBorder="1" applyAlignment="1">
      <alignment horizontal="center"/>
    </xf>
    <xf numFmtId="0" fontId="31" fillId="25" borderId="98" xfId="44" applyFont="1" applyFill="1" applyBorder="1" applyAlignment="1">
      <alignment horizontal="center"/>
    </xf>
    <xf numFmtId="0" fontId="31" fillId="25" borderId="99" xfId="44" applyFont="1" applyFill="1" applyBorder="1" applyAlignment="1">
      <alignment horizontal="center"/>
    </xf>
    <xf numFmtId="0" fontId="29" fillId="0" borderId="22" xfId="44" applyFont="1" applyBorder="1" applyAlignment="1">
      <alignment horizontal="center" vertical="center" wrapText="1"/>
    </xf>
    <xf numFmtId="0" fontId="2" fillId="0" borderId="100" xfId="44" applyBorder="1"/>
    <xf numFmtId="0" fontId="2" fillId="0" borderId="101" xfId="44" applyBorder="1"/>
    <xf numFmtId="169" fontId="29" fillId="0" borderId="22" xfId="44" applyNumberFormat="1" applyFont="1" applyBorder="1" applyAlignment="1">
      <alignment horizontal="center" vertical="center" wrapText="1"/>
    </xf>
    <xf numFmtId="169" fontId="29" fillId="0" borderId="102" xfId="44" applyNumberFormat="1" applyFont="1" applyBorder="1" applyAlignment="1">
      <alignment horizontal="center" vertical="center" wrapText="1"/>
    </xf>
    <xf numFmtId="0" fontId="2" fillId="0" borderId="59" xfId="44" applyBorder="1"/>
    <xf numFmtId="0" fontId="2" fillId="0" borderId="103" xfId="44" applyBorder="1"/>
    <xf numFmtId="0" fontId="29" fillId="0" borderId="18" xfId="44" applyFont="1" applyBorder="1" applyAlignment="1">
      <alignment horizontal="center" vertical="center" wrapText="1"/>
    </xf>
    <xf numFmtId="0" fontId="2" fillId="0" borderId="73" xfId="44" applyBorder="1"/>
    <xf numFmtId="0" fontId="2" fillId="0" borderId="104" xfId="44" applyBorder="1"/>
    <xf numFmtId="0" fontId="28" fillId="0" borderId="108" xfId="44" applyFont="1" applyBorder="1" applyAlignment="1">
      <alignment horizontal="center" vertical="center" wrapText="1"/>
    </xf>
    <xf numFmtId="0" fontId="26" fillId="24" borderId="20" xfId="44" applyFont="1" applyFill="1" applyBorder="1" applyAlignment="1">
      <alignment horizontal="center" vertical="center"/>
    </xf>
    <xf numFmtId="0" fontId="26" fillId="24" borderId="10" xfId="44" applyFont="1" applyFill="1" applyBorder="1" applyAlignment="1">
      <alignment horizontal="center" vertical="center"/>
    </xf>
    <xf numFmtId="0" fontId="26" fillId="0" borderId="110" xfId="44" applyFont="1" applyBorder="1" applyAlignment="1">
      <alignment horizontal="center" vertical="center"/>
    </xf>
    <xf numFmtId="0" fontId="26" fillId="0" borderId="111" xfId="44" applyFont="1" applyBorder="1" applyAlignment="1">
      <alignment horizontal="center" vertical="center"/>
    </xf>
    <xf numFmtId="0" fontId="26" fillId="0" borderId="10" xfId="44" applyFont="1" applyBorder="1" applyAlignment="1">
      <alignment horizontal="center" vertical="center"/>
    </xf>
    <xf numFmtId="0" fontId="33" fillId="25" borderId="112" xfId="44" applyFont="1" applyFill="1" applyBorder="1" applyAlignment="1">
      <alignment horizontal="left"/>
    </xf>
    <xf numFmtId="0" fontId="33" fillId="25" borderId="71" xfId="44" applyFont="1" applyFill="1" applyBorder="1" applyAlignment="1">
      <alignment horizontal="left"/>
    </xf>
    <xf numFmtId="0" fontId="33" fillId="25" borderId="113" xfId="44" applyFont="1" applyFill="1" applyBorder="1" applyAlignment="1">
      <alignment horizontal="left"/>
    </xf>
    <xf numFmtId="0" fontId="28" fillId="24" borderId="109" xfId="44" applyFont="1" applyFill="1" applyBorder="1" applyAlignment="1">
      <alignment horizontal="center" vertical="center" wrapText="1"/>
    </xf>
    <xf numFmtId="0" fontId="28" fillId="24" borderId="108" xfId="44" applyFont="1" applyFill="1" applyBorder="1" applyAlignment="1">
      <alignment horizontal="center" vertical="center" wrapText="1"/>
    </xf>
    <xf numFmtId="0" fontId="28" fillId="25" borderId="105" xfId="44" applyFont="1" applyFill="1" applyBorder="1" applyAlignment="1">
      <alignment horizontal="center"/>
    </xf>
    <xf numFmtId="0" fontId="28" fillId="25" borderId="106" xfId="44" applyFont="1" applyFill="1" applyBorder="1" applyAlignment="1">
      <alignment horizontal="center"/>
    </xf>
    <xf numFmtId="0" fontId="28" fillId="25" borderId="107" xfId="44" applyFont="1" applyFill="1" applyBorder="1" applyAlignment="1">
      <alignment horizontal="center"/>
    </xf>
    <xf numFmtId="0" fontId="26" fillId="24" borderId="9" xfId="44" applyFont="1" applyFill="1" applyBorder="1" applyAlignment="1">
      <alignment horizontal="center" vertical="center"/>
    </xf>
    <xf numFmtId="0" fontId="26" fillId="0" borderId="9" xfId="44" applyFont="1" applyBorder="1" applyAlignment="1">
      <alignment horizontal="center" vertical="center"/>
    </xf>
    <xf numFmtId="0" fontId="43" fillId="0" borderId="114" xfId="0" applyFont="1" applyBorder="1" applyAlignment="1">
      <alignment horizontal="center" vertical="center" wrapText="1"/>
    </xf>
    <xf numFmtId="0" fontId="43" fillId="0" borderId="115" xfId="0" applyFont="1" applyBorder="1" applyAlignment="1">
      <alignment horizontal="center" vertical="center" wrapText="1"/>
    </xf>
    <xf numFmtId="0" fontId="43" fillId="0" borderId="116" xfId="0" applyFont="1" applyBorder="1" applyAlignment="1">
      <alignment horizontal="center" vertical="center" wrapText="1"/>
    </xf>
    <xf numFmtId="0" fontId="43" fillId="0" borderId="114" xfId="0" applyFont="1" applyBorder="1" applyAlignment="1">
      <alignment horizontal="center" vertical="center"/>
    </xf>
    <xf numFmtId="0" fontId="43" fillId="0" borderId="115" xfId="0" applyFont="1" applyBorder="1" applyAlignment="1">
      <alignment horizontal="center" vertical="center"/>
    </xf>
    <xf numFmtId="0" fontId="43" fillId="0" borderId="116" xfId="0" applyFont="1" applyBorder="1" applyAlignment="1">
      <alignment horizontal="center" vertical="center"/>
    </xf>
    <xf numFmtId="0" fontId="41" fillId="0" borderId="68" xfId="43" applyBorder="1" applyAlignment="1">
      <alignment horizontal="center" vertical="center"/>
    </xf>
    <xf numFmtId="0" fontId="41" fillId="0" borderId="84" xfId="43" applyBorder="1" applyAlignment="1">
      <alignment horizontal="center" vertical="center"/>
    </xf>
    <xf numFmtId="0" fontId="41" fillId="0" borderId="54" xfId="43" applyBorder="1" applyAlignment="1">
      <alignment horizontal="center" vertical="center"/>
    </xf>
    <xf numFmtId="0" fontId="44" fillId="0" borderId="0" xfId="43" applyFont="1" applyAlignment="1">
      <alignment horizontal="center"/>
    </xf>
    <xf numFmtId="0" fontId="43" fillId="0" borderId="66" xfId="43" applyFont="1" applyBorder="1" applyAlignment="1">
      <alignment horizontal="left" vertical="center" wrapText="1"/>
    </xf>
    <xf numFmtId="0" fontId="43" fillId="0" borderId="100" xfId="43" applyFont="1" applyBorder="1" applyAlignment="1">
      <alignment horizontal="left" vertical="center" wrapText="1"/>
    </xf>
    <xf numFmtId="0" fontId="41" fillId="0" borderId="68" xfId="43" applyBorder="1" applyAlignment="1">
      <alignment horizontal="left" vertical="center" wrapText="1"/>
    </xf>
    <xf numFmtId="0" fontId="41" fillId="0" borderId="84" xfId="43" applyBorder="1" applyAlignment="1">
      <alignment horizontal="left" vertical="center" wrapText="1"/>
    </xf>
    <xf numFmtId="0" fontId="41" fillId="0" borderId="54" xfId="43" applyBorder="1" applyAlignment="1">
      <alignment horizontal="left" vertical="center" wrapText="1"/>
    </xf>
    <xf numFmtId="0" fontId="11" fillId="0" borderId="66" xfId="45" applyFont="1" applyFill="1" applyBorder="1" applyAlignment="1" applyProtection="1">
      <alignment horizontal="center" vertical="center"/>
      <protection hidden="1"/>
    </xf>
    <xf numFmtId="0" fontId="11" fillId="0" borderId="67" xfId="45" applyFont="1" applyFill="1" applyBorder="1" applyAlignment="1" applyProtection="1">
      <alignment horizontal="center" vertical="center"/>
      <protection hidden="1"/>
    </xf>
    <xf numFmtId="0" fontId="21" fillId="27" borderId="19" xfId="45" applyFont="1" applyFill="1" applyBorder="1" applyAlignment="1" applyProtection="1">
      <alignment horizontal="center" vertical="center" wrapText="1"/>
      <protection hidden="1"/>
    </xf>
    <xf numFmtId="0" fontId="21" fillId="27" borderId="93" xfId="45" applyFont="1" applyFill="1" applyBorder="1" applyAlignment="1" applyProtection="1">
      <alignment horizontal="center" vertical="center" wrapText="1"/>
      <protection hidden="1"/>
    </xf>
    <xf numFmtId="0" fontId="21" fillId="27" borderId="9" xfId="45" applyFont="1" applyFill="1" applyBorder="1" applyAlignment="1" applyProtection="1">
      <alignment horizontal="center" vertical="center" wrapText="1"/>
      <protection hidden="1"/>
    </xf>
    <xf numFmtId="0" fontId="21" fillId="27" borderId="78" xfId="45" applyFont="1" applyFill="1" applyBorder="1" applyAlignment="1" applyProtection="1">
      <alignment horizontal="center" vertical="center" wrapText="1"/>
      <protection hidden="1"/>
    </xf>
    <xf numFmtId="0" fontId="21" fillId="27" borderId="38" xfId="45" applyFont="1" applyFill="1" applyBorder="1" applyAlignment="1" applyProtection="1">
      <alignment horizontal="center" vertical="center" wrapText="1"/>
      <protection hidden="1"/>
    </xf>
    <xf numFmtId="0" fontId="21" fillId="27" borderId="80" xfId="45" applyFont="1" applyFill="1" applyBorder="1" applyAlignment="1" applyProtection="1">
      <alignment horizontal="center" vertical="center" wrapText="1"/>
      <protection hidden="1"/>
    </xf>
    <xf numFmtId="0" fontId="22" fillId="27" borderId="85" xfId="45" applyFont="1" applyFill="1" applyBorder="1" applyAlignment="1" applyProtection="1">
      <alignment horizontal="center" vertical="center" wrapText="1"/>
      <protection hidden="1"/>
    </xf>
    <xf numFmtId="0" fontId="22" fillId="27" borderId="71" xfId="45" applyFont="1" applyFill="1" applyBorder="1" applyAlignment="1" applyProtection="1">
      <alignment horizontal="center" vertical="center" wrapText="1"/>
      <protection hidden="1"/>
    </xf>
    <xf numFmtId="0" fontId="22" fillId="27" borderId="61" xfId="45" applyFont="1" applyFill="1" applyBorder="1" applyAlignment="1" applyProtection="1">
      <alignment horizontal="center" vertical="center" wrapText="1"/>
      <protection hidden="1"/>
    </xf>
    <xf numFmtId="0" fontId="22" fillId="27" borderId="87" xfId="45" applyFont="1" applyFill="1" applyBorder="1" applyAlignment="1" applyProtection="1">
      <alignment horizontal="center" vertical="center" wrapText="1"/>
      <protection hidden="1"/>
    </xf>
    <xf numFmtId="0" fontId="22" fillId="27" borderId="0" xfId="45" applyFont="1" applyFill="1" applyBorder="1" applyAlignment="1" applyProtection="1">
      <alignment horizontal="center" vertical="center" wrapText="1"/>
      <protection hidden="1"/>
    </xf>
    <xf numFmtId="0" fontId="22" fillId="27" borderId="117" xfId="45" applyFont="1" applyFill="1" applyBorder="1" applyAlignment="1" applyProtection="1">
      <alignment horizontal="center" vertical="center" wrapText="1"/>
      <protection hidden="1"/>
    </xf>
    <xf numFmtId="0" fontId="22" fillId="27" borderId="89" xfId="45" applyFont="1" applyFill="1" applyBorder="1" applyAlignment="1" applyProtection="1">
      <alignment horizontal="center" vertical="center" wrapText="1"/>
      <protection hidden="1"/>
    </xf>
    <xf numFmtId="0" fontId="22" fillId="27" borderId="90" xfId="45" applyFont="1" applyFill="1" applyBorder="1" applyAlignment="1" applyProtection="1">
      <alignment horizontal="center" vertical="center" wrapText="1"/>
      <protection hidden="1"/>
    </xf>
    <xf numFmtId="0" fontId="22" fillId="27" borderId="118" xfId="45" applyFont="1" applyFill="1" applyBorder="1" applyAlignment="1" applyProtection="1">
      <alignment horizontal="center" vertical="center" wrapText="1"/>
      <protection hidden="1"/>
    </xf>
    <xf numFmtId="0" fontId="21" fillId="27" borderId="85" xfId="45" applyFont="1" applyFill="1" applyBorder="1" applyAlignment="1" applyProtection="1">
      <alignment horizontal="center" vertical="center" wrapText="1"/>
      <protection hidden="1"/>
    </xf>
    <xf numFmtId="0" fontId="21" fillId="27" borderId="87" xfId="45" applyFont="1" applyFill="1" applyBorder="1" applyAlignment="1" applyProtection="1">
      <alignment horizontal="center" vertical="center" wrapText="1"/>
      <protection hidden="1"/>
    </xf>
    <xf numFmtId="0" fontId="21" fillId="27" borderId="89" xfId="45" applyFont="1" applyFill="1" applyBorder="1" applyAlignment="1" applyProtection="1">
      <alignment horizontal="center" vertical="center" wrapText="1"/>
      <protection hidden="1"/>
    </xf>
    <xf numFmtId="9" fontId="19" fillId="0" borderId="66" xfId="38" applyNumberFormat="1" applyFont="1" applyFill="1" applyBorder="1" applyAlignment="1">
      <alignment horizontal="left" vertical="center" wrapText="1"/>
    </xf>
    <xf numFmtId="9" fontId="19" fillId="0" borderId="100" xfId="38" applyNumberFormat="1" applyFont="1" applyFill="1" applyBorder="1" applyAlignment="1">
      <alignment horizontal="left" vertical="center" wrapText="1"/>
    </xf>
    <xf numFmtId="9" fontId="19" fillId="0" borderId="119" xfId="38" applyNumberFormat="1" applyFont="1" applyFill="1" applyBorder="1" applyAlignment="1">
      <alignment horizontal="left" vertical="center" wrapText="1"/>
    </xf>
    <xf numFmtId="0" fontId="22" fillId="27" borderId="36" xfId="45" applyFont="1" applyFill="1" applyBorder="1" applyAlignment="1" applyProtection="1">
      <alignment horizontal="center" vertical="center" wrapText="1"/>
      <protection hidden="1"/>
    </xf>
    <xf numFmtId="0" fontId="22" fillId="27" borderId="54" xfId="45" applyFont="1" applyFill="1" applyBorder="1" applyAlignment="1" applyProtection="1">
      <alignment horizontal="center" vertical="center" wrapText="1"/>
      <protection hidden="1"/>
    </xf>
    <xf numFmtId="0" fontId="25" fillId="0" borderId="36" xfId="45" applyFont="1" applyBorder="1" applyAlignment="1" applyProtection="1">
      <alignment horizontal="center" vertical="center"/>
      <protection hidden="1"/>
    </xf>
    <xf numFmtId="0" fontId="25" fillId="0" borderId="84" xfId="45" applyFont="1" applyBorder="1" applyAlignment="1" applyProtection="1">
      <alignment horizontal="center" vertical="center"/>
      <protection hidden="1"/>
    </xf>
    <xf numFmtId="0" fontId="25" fillId="0" borderId="69" xfId="45" applyFont="1" applyBorder="1" applyAlignment="1" applyProtection="1">
      <alignment horizontal="center" vertical="center"/>
      <protection hidden="1"/>
    </xf>
    <xf numFmtId="0" fontId="22" fillId="27" borderId="19" xfId="45" applyFont="1" applyFill="1" applyBorder="1" applyAlignment="1" applyProtection="1">
      <alignment horizontal="center" vertical="center" wrapText="1"/>
      <protection hidden="1"/>
    </xf>
    <xf numFmtId="0" fontId="22" fillId="27" borderId="9" xfId="45" applyFont="1" applyFill="1" applyBorder="1" applyAlignment="1" applyProtection="1">
      <alignment horizontal="center" vertical="center" wrapText="1"/>
      <protection hidden="1"/>
    </xf>
    <xf numFmtId="0" fontId="22" fillId="27" borderId="38" xfId="45" applyFont="1" applyFill="1" applyBorder="1" applyAlignment="1" applyProtection="1">
      <alignment horizontal="center" vertical="center" wrapText="1"/>
      <protection hidden="1"/>
    </xf>
    <xf numFmtId="0" fontId="22" fillId="27" borderId="19" xfId="45" applyFont="1" applyFill="1" applyBorder="1" applyAlignment="1" applyProtection="1">
      <alignment horizontal="center" vertical="center"/>
      <protection hidden="1"/>
    </xf>
    <xf numFmtId="0" fontId="22" fillId="27" borderId="9" xfId="45" applyFont="1" applyFill="1" applyBorder="1" applyAlignment="1" applyProtection="1">
      <alignment horizontal="center" vertical="center"/>
      <protection hidden="1"/>
    </xf>
    <xf numFmtId="0" fontId="22" fillId="27" borderId="38" xfId="45" applyFont="1" applyFill="1" applyBorder="1" applyAlignment="1" applyProtection="1">
      <alignment horizontal="center" vertical="center"/>
      <protection hidden="1"/>
    </xf>
    <xf numFmtId="9" fontId="19" fillId="0" borderId="66" xfId="38" applyNumberFormat="1" applyFont="1" applyFill="1" applyBorder="1" applyAlignment="1">
      <alignment horizontal="justify" vertical="center" wrapText="1"/>
    </xf>
    <xf numFmtId="9" fontId="19" fillId="0" borderId="100" xfId="38" applyNumberFormat="1" applyFont="1" applyFill="1" applyBorder="1" applyAlignment="1">
      <alignment horizontal="justify" vertical="center" wrapText="1"/>
    </xf>
    <xf numFmtId="9" fontId="19" fillId="0" borderId="119" xfId="38" applyNumberFormat="1" applyFont="1" applyFill="1" applyBorder="1" applyAlignment="1">
      <alignment horizontal="justify" vertical="center" wrapText="1"/>
    </xf>
    <xf numFmtId="0" fontId="11" fillId="0" borderId="76" xfId="45" applyFont="1" applyFill="1" applyBorder="1" applyAlignment="1" applyProtection="1">
      <alignment horizontal="justify" vertical="center" wrapText="1"/>
      <protection hidden="1"/>
    </xf>
    <xf numFmtId="0" fontId="11" fillId="0" borderId="121" xfId="45" applyFont="1" applyFill="1" applyBorder="1" applyAlignment="1" applyProtection="1">
      <alignment horizontal="justify" vertical="center" wrapText="1"/>
      <protection hidden="1"/>
    </xf>
    <xf numFmtId="0" fontId="11" fillId="0" borderId="75" xfId="45" applyFont="1" applyFill="1" applyBorder="1" applyAlignment="1" applyProtection="1">
      <alignment horizontal="justify" vertical="center" wrapText="1"/>
      <protection hidden="1"/>
    </xf>
    <xf numFmtId="0" fontId="11" fillId="0" borderId="66" xfId="45" applyFont="1" applyFill="1" applyBorder="1" applyAlignment="1" applyProtection="1">
      <alignment horizontal="justify" vertical="center" wrapText="1"/>
      <protection hidden="1"/>
    </xf>
    <xf numFmtId="0" fontId="11" fillId="0" borderId="100" xfId="45" applyFont="1" applyFill="1" applyBorder="1" applyAlignment="1" applyProtection="1">
      <alignment horizontal="justify" vertical="center" wrapText="1"/>
      <protection hidden="1"/>
    </xf>
    <xf numFmtId="0" fontId="11" fillId="0" borderId="67" xfId="45" applyFont="1" applyFill="1" applyBorder="1" applyAlignment="1" applyProtection="1">
      <alignment horizontal="justify" vertical="center" wrapText="1"/>
      <protection hidden="1"/>
    </xf>
    <xf numFmtId="0" fontId="11" fillId="29" borderId="56" xfId="45" applyFont="1" applyFill="1" applyBorder="1" applyAlignment="1" applyProtection="1">
      <alignment horizontal="left" vertical="center"/>
      <protection hidden="1"/>
    </xf>
    <xf numFmtId="0" fontId="11" fillId="29" borderId="38" xfId="45" applyFont="1" applyFill="1" applyBorder="1" applyAlignment="1" applyProtection="1">
      <alignment horizontal="left" vertical="center"/>
      <protection hidden="1"/>
    </xf>
    <xf numFmtId="0" fontId="11" fillId="29" borderId="38" xfId="45" applyFont="1" applyFill="1" applyBorder="1" applyAlignment="1" applyProtection="1">
      <alignment horizontal="center" vertical="center"/>
      <protection hidden="1"/>
    </xf>
    <xf numFmtId="0" fontId="11" fillId="29" borderId="38" xfId="45" applyFont="1" applyFill="1" applyBorder="1" applyAlignment="1" applyProtection="1">
      <alignment horizontal="left" vertical="center" wrapText="1"/>
      <protection hidden="1"/>
    </xf>
    <xf numFmtId="0" fontId="11" fillId="29" borderId="55" xfId="45" applyFont="1" applyFill="1" applyBorder="1" applyAlignment="1" applyProtection="1">
      <alignment horizontal="left" vertical="center"/>
      <protection hidden="1"/>
    </xf>
    <xf numFmtId="0" fontId="11" fillId="29" borderId="9" xfId="45" applyFont="1" applyFill="1" applyBorder="1" applyAlignment="1" applyProtection="1">
      <alignment horizontal="left" vertical="center"/>
      <protection hidden="1"/>
    </xf>
    <xf numFmtId="0" fontId="11" fillId="29" borderId="9" xfId="45" applyFont="1" applyFill="1" applyBorder="1" applyAlignment="1" applyProtection="1">
      <alignment horizontal="center" vertical="center"/>
      <protection hidden="1"/>
    </xf>
    <xf numFmtId="0" fontId="11" fillId="29" borderId="9" xfId="45" applyFont="1" applyFill="1" applyBorder="1" applyAlignment="1" applyProtection="1">
      <alignment horizontal="left" vertical="center" wrapText="1"/>
      <protection hidden="1"/>
    </xf>
    <xf numFmtId="0" fontId="11" fillId="29" borderId="53" xfId="45" applyFont="1" applyFill="1" applyBorder="1" applyAlignment="1" applyProtection="1">
      <alignment horizontal="left" vertical="center"/>
      <protection hidden="1"/>
    </xf>
    <xf numFmtId="0" fontId="11" fillId="29" borderId="54" xfId="45" applyFont="1" applyFill="1" applyBorder="1" applyAlignment="1" applyProtection="1">
      <alignment horizontal="left" vertical="center"/>
      <protection hidden="1"/>
    </xf>
    <xf numFmtId="0" fontId="11" fillId="29" borderId="54" xfId="45" applyFont="1" applyFill="1" applyBorder="1" applyAlignment="1" applyProtection="1">
      <alignment horizontal="center" vertical="center"/>
      <protection hidden="1"/>
    </xf>
    <xf numFmtId="0" fontId="11" fillId="29" borderId="54" xfId="45" applyFont="1" applyFill="1" applyBorder="1" applyAlignment="1" applyProtection="1">
      <alignment horizontal="left" vertical="center" wrapText="1"/>
      <protection hidden="1"/>
    </xf>
    <xf numFmtId="0" fontId="11" fillId="0" borderId="58" xfId="45" applyFont="1" applyFill="1" applyBorder="1" applyAlignment="1" applyProtection="1">
      <alignment horizontal="center" vertical="center"/>
      <protection hidden="1"/>
    </xf>
    <xf numFmtId="0" fontId="11" fillId="0" borderId="72" xfId="45" applyFont="1" applyFill="1" applyBorder="1" applyAlignment="1" applyProtection="1">
      <alignment horizontal="center" vertical="center"/>
      <protection hidden="1"/>
    </xf>
    <xf numFmtId="0" fontId="11" fillId="0" borderId="22" xfId="45" applyFont="1" applyFill="1" applyBorder="1" applyAlignment="1" applyProtection="1">
      <alignment horizontal="left" vertical="center"/>
      <protection hidden="1"/>
    </xf>
    <xf numFmtId="0" fontId="11" fillId="0" borderId="67" xfId="45" applyFont="1" applyFill="1" applyBorder="1" applyAlignment="1" applyProtection="1">
      <alignment horizontal="left" vertical="center"/>
      <protection hidden="1"/>
    </xf>
    <xf numFmtId="0" fontId="11" fillId="0" borderId="77" xfId="45" applyFont="1" applyFill="1" applyBorder="1" applyAlignment="1" applyProtection="1">
      <alignment horizontal="center" vertical="center"/>
      <protection hidden="1"/>
    </xf>
    <xf numFmtId="0" fontId="11" fillId="0" borderId="120" xfId="45" applyFont="1" applyFill="1" applyBorder="1" applyAlignment="1" applyProtection="1">
      <alignment horizontal="center" vertical="center"/>
      <protection hidden="1"/>
    </xf>
    <xf numFmtId="0" fontId="22" fillId="27" borderId="81" xfId="45" applyFont="1" applyFill="1" applyBorder="1" applyAlignment="1" applyProtection="1">
      <alignment horizontal="center" vertical="center" wrapText="1"/>
      <protection hidden="1"/>
    </xf>
    <xf numFmtId="0" fontId="22" fillId="27" borderId="55" xfId="45" applyFont="1" applyFill="1" applyBorder="1" applyAlignment="1" applyProtection="1">
      <alignment horizontal="center" vertical="center" wrapText="1"/>
      <protection hidden="1"/>
    </xf>
    <xf numFmtId="0" fontId="22" fillId="27" borderId="56" xfId="45" applyFont="1" applyFill="1" applyBorder="1" applyAlignment="1" applyProtection="1">
      <alignment horizontal="center" vertical="center" wrapText="1"/>
      <protection hidden="1"/>
    </xf>
    <xf numFmtId="0" fontId="11" fillId="0" borderId="18" xfId="45" applyFont="1" applyFill="1" applyBorder="1" applyAlignment="1" applyProtection="1">
      <alignment horizontal="left" vertical="center"/>
      <protection hidden="1"/>
    </xf>
    <xf numFmtId="0" fontId="11" fillId="0" borderId="120" xfId="45" applyFont="1" applyFill="1" applyBorder="1" applyAlignment="1" applyProtection="1">
      <alignment horizontal="left" vertical="center"/>
      <protection hidden="1"/>
    </xf>
    <xf numFmtId="0" fontId="11" fillId="0" borderId="58" xfId="45" applyFont="1" applyFill="1" applyBorder="1" applyAlignment="1" applyProtection="1">
      <alignment horizontal="justify" vertical="center" wrapText="1"/>
      <protection hidden="1"/>
    </xf>
    <xf numFmtId="0" fontId="11" fillId="0" borderId="59" xfId="45" applyFont="1" applyFill="1" applyBorder="1" applyAlignment="1" applyProtection="1">
      <alignment horizontal="justify" vertical="center" wrapText="1"/>
      <protection hidden="1"/>
    </xf>
    <xf numFmtId="0" fontId="11" fillId="0" borderId="72" xfId="45" applyFont="1" applyFill="1" applyBorder="1" applyAlignment="1" applyProtection="1">
      <alignment horizontal="justify" vertical="center" wrapText="1"/>
      <protection hidden="1"/>
    </xf>
    <xf numFmtId="9" fontId="19" fillId="0" borderId="58" xfId="38" applyNumberFormat="1" applyFont="1" applyFill="1" applyBorder="1" applyAlignment="1">
      <alignment horizontal="left" vertical="center" wrapText="1"/>
    </xf>
    <xf numFmtId="9" fontId="19" fillId="0" borderId="59" xfId="38" applyNumberFormat="1" applyFont="1" applyFill="1" applyBorder="1" applyAlignment="1">
      <alignment horizontal="left" vertical="center" wrapText="1"/>
    </xf>
    <xf numFmtId="9" fontId="19" fillId="0" borderId="60" xfId="38" applyNumberFormat="1" applyFont="1" applyFill="1" applyBorder="1" applyAlignment="1">
      <alignment horizontal="left" vertical="center" wrapText="1"/>
    </xf>
    <xf numFmtId="9" fontId="19" fillId="0" borderId="77" xfId="38" applyNumberFormat="1" applyFont="1" applyFill="1" applyBorder="1" applyAlignment="1">
      <alignment horizontal="justify" vertical="center" wrapText="1"/>
    </xf>
    <xf numFmtId="9" fontId="19" fillId="0" borderId="73" xfId="38" applyNumberFormat="1" applyFont="1" applyFill="1" applyBorder="1" applyAlignment="1">
      <alignment horizontal="justify" vertical="center" wrapText="1"/>
    </xf>
    <xf numFmtId="9" fontId="19" fillId="0" borderId="74" xfId="38" applyNumberFormat="1" applyFont="1" applyFill="1" applyBorder="1" applyAlignment="1">
      <alignment horizontal="justify" vertical="center" wrapText="1"/>
    </xf>
    <xf numFmtId="0" fontId="11" fillId="0" borderId="102" xfId="45" applyFont="1" applyFill="1" applyBorder="1" applyAlignment="1" applyProtection="1">
      <alignment horizontal="left" vertical="center"/>
      <protection hidden="1"/>
    </xf>
    <xf numFmtId="0" fontId="11" fillId="0" borderId="72" xfId="45" applyFont="1" applyFill="1" applyBorder="1" applyAlignment="1" applyProtection="1">
      <alignment horizontal="left" vertical="center"/>
      <protection hidden="1"/>
    </xf>
    <xf numFmtId="0" fontId="22" fillId="27" borderId="85" xfId="45" applyFont="1" applyFill="1" applyBorder="1" applyAlignment="1" applyProtection="1">
      <alignment horizontal="center" vertical="center"/>
      <protection hidden="1"/>
    </xf>
    <xf numFmtId="0" fontId="22" fillId="27" borderId="71" xfId="45" applyFont="1" applyFill="1" applyBorder="1" applyAlignment="1" applyProtection="1">
      <alignment horizontal="center" vertical="center"/>
      <protection hidden="1"/>
    </xf>
    <xf numFmtId="0" fontId="22" fillId="27" borderId="86" xfId="45" applyFont="1" applyFill="1" applyBorder="1" applyAlignment="1" applyProtection="1">
      <alignment horizontal="center" vertical="center"/>
      <protection hidden="1"/>
    </xf>
    <xf numFmtId="0" fontId="11" fillId="0" borderId="122" xfId="45" applyFont="1" applyFill="1" applyBorder="1" applyAlignment="1" applyProtection="1">
      <alignment horizontal="center" vertical="center" wrapText="1"/>
      <protection hidden="1"/>
    </xf>
    <xf numFmtId="0" fontId="11" fillId="0" borderId="118" xfId="45" applyFont="1" applyFill="1" applyBorder="1" applyAlignment="1" applyProtection="1">
      <alignment horizontal="center" vertical="center" wrapText="1"/>
      <protection hidden="1"/>
    </xf>
    <xf numFmtId="0" fontId="11" fillId="0" borderId="89" xfId="45" applyFont="1" applyFill="1" applyBorder="1" applyAlignment="1" applyProtection="1">
      <alignment horizontal="center" vertical="center"/>
      <protection hidden="1"/>
    </xf>
    <xf numFmtId="0" fontId="11" fillId="0" borderId="118" xfId="45" applyFont="1" applyFill="1" applyBorder="1" applyAlignment="1" applyProtection="1">
      <alignment horizontal="center" vertical="center"/>
      <protection hidden="1"/>
    </xf>
    <xf numFmtId="0" fontId="22" fillId="27" borderId="70" xfId="45" applyFont="1" applyFill="1" applyBorder="1" applyAlignment="1" applyProtection="1">
      <alignment horizontal="center" vertical="center" wrapText="1"/>
      <protection hidden="1"/>
    </xf>
    <xf numFmtId="0" fontId="22" fillId="27" borderId="123" xfId="45" applyFont="1" applyFill="1" applyBorder="1" applyAlignment="1" applyProtection="1">
      <alignment horizontal="center" vertical="center"/>
      <protection hidden="1"/>
    </xf>
    <xf numFmtId="0" fontId="22" fillId="27" borderId="98" xfId="45" applyFont="1" applyFill="1" applyBorder="1" applyAlignment="1" applyProtection="1">
      <alignment horizontal="center" vertical="center"/>
      <protection hidden="1"/>
    </xf>
    <xf numFmtId="0" fontId="22" fillId="27" borderId="92" xfId="45" applyFont="1" applyFill="1" applyBorder="1" applyAlignment="1" applyProtection="1">
      <alignment horizontal="center" vertical="center"/>
      <protection hidden="1"/>
    </xf>
    <xf numFmtId="0" fontId="22" fillId="27" borderId="77" xfId="45" applyFont="1" applyFill="1" applyBorder="1" applyAlignment="1" applyProtection="1">
      <alignment horizontal="center" vertical="center"/>
      <protection hidden="1"/>
    </xf>
    <xf numFmtId="0" fontId="22" fillId="27" borderId="73" xfId="45" applyFont="1" applyFill="1" applyBorder="1" applyAlignment="1" applyProtection="1">
      <alignment horizontal="center" vertical="center"/>
      <protection hidden="1"/>
    </xf>
    <xf numFmtId="0" fontId="22" fillId="27" borderId="74" xfId="45" applyFont="1" applyFill="1" applyBorder="1" applyAlignment="1" applyProtection="1">
      <alignment horizontal="center" vertical="center"/>
      <protection hidden="1"/>
    </xf>
    <xf numFmtId="0" fontId="11" fillId="0" borderId="22" xfId="45" applyFont="1" applyFill="1" applyBorder="1" applyAlignment="1" applyProtection="1">
      <alignment horizontal="center" vertical="center" wrapText="1"/>
      <protection hidden="1"/>
    </xf>
    <xf numFmtId="0" fontId="11" fillId="0" borderId="67" xfId="45" applyFont="1" applyFill="1" applyBorder="1" applyAlignment="1" applyProtection="1">
      <alignment horizontal="center" vertical="center" wrapText="1"/>
      <protection hidden="1"/>
    </xf>
    <xf numFmtId="0" fontId="25" fillId="0" borderId="62" xfId="45" applyFont="1" applyBorder="1" applyAlignment="1" applyProtection="1">
      <alignment horizontal="center" vertical="center"/>
      <protection hidden="1"/>
    </xf>
    <xf numFmtId="0" fontId="25" fillId="0" borderId="87" xfId="45" applyFont="1" applyBorder="1" applyAlignment="1" applyProtection="1">
      <alignment horizontal="center" vertical="center"/>
      <protection hidden="1"/>
    </xf>
    <xf numFmtId="0" fontId="25" fillId="0" borderId="89" xfId="45" applyFont="1" applyBorder="1" applyAlignment="1" applyProtection="1">
      <alignment horizontal="center" vertical="center"/>
      <protection hidden="1"/>
    </xf>
    <xf numFmtId="10" fontId="11" fillId="0" borderId="38" xfId="38" applyNumberFormat="1" applyFont="1" applyFill="1" applyBorder="1" applyAlignment="1">
      <alignment horizontal="center" vertical="center" wrapText="1"/>
    </xf>
    <xf numFmtId="0" fontId="11" fillId="0" borderId="38" xfId="38" applyFont="1" applyFill="1" applyBorder="1" applyAlignment="1">
      <alignment horizontal="center" vertical="center" wrapText="1"/>
    </xf>
    <xf numFmtId="49" fontId="11" fillId="0" borderId="38" xfId="38" applyNumberFormat="1" applyFont="1" applyFill="1" applyBorder="1" applyAlignment="1">
      <alignment horizontal="center" vertical="center" wrapText="1"/>
    </xf>
    <xf numFmtId="0" fontId="11" fillId="0" borderId="102" xfId="45" applyBorder="1" applyAlignment="1" applyProtection="1">
      <alignment horizontal="justify" wrapText="1"/>
      <protection hidden="1"/>
    </xf>
    <xf numFmtId="0" fontId="11" fillId="0" borderId="59" xfId="45" applyBorder="1" applyAlignment="1" applyProtection="1">
      <alignment horizontal="justify" wrapText="1"/>
      <protection hidden="1"/>
    </xf>
    <xf numFmtId="0" fontId="11" fillId="0" borderId="60" xfId="45" applyBorder="1" applyAlignment="1" applyProtection="1">
      <alignment horizontal="justify" wrapText="1"/>
      <protection hidden="1"/>
    </xf>
    <xf numFmtId="0" fontId="22" fillId="27" borderId="18" xfId="45" applyFont="1" applyFill="1" applyBorder="1" applyAlignment="1" applyProtection="1">
      <alignment horizontal="center" vertical="center" wrapText="1"/>
      <protection hidden="1"/>
    </xf>
    <xf numFmtId="0" fontId="22" fillId="27" borderId="120" xfId="45" applyFont="1" applyFill="1" applyBorder="1" applyAlignment="1" applyProtection="1">
      <alignment horizontal="center" vertical="center" wrapText="1"/>
      <protection hidden="1"/>
    </xf>
    <xf numFmtId="0" fontId="22" fillId="27" borderId="77" xfId="45" applyFont="1" applyFill="1" applyBorder="1" applyAlignment="1" applyProtection="1">
      <alignment horizontal="center" vertical="center" wrapText="1"/>
      <protection hidden="1"/>
    </xf>
    <xf numFmtId="0" fontId="22" fillId="27" borderId="120" xfId="45" applyFont="1" applyFill="1" applyBorder="1" applyAlignment="1" applyProtection="1">
      <alignment horizontal="center" vertical="center"/>
      <protection hidden="1"/>
    </xf>
    <xf numFmtId="10" fontId="11" fillId="0" borderId="54" xfId="38" applyNumberFormat="1" applyFont="1" applyFill="1" applyBorder="1" applyAlignment="1">
      <alignment horizontal="center" vertical="center" wrapText="1"/>
    </xf>
    <xf numFmtId="0" fontId="11" fillId="0" borderId="54" xfId="38" applyFont="1" applyFill="1" applyBorder="1" applyAlignment="1">
      <alignment horizontal="center" vertical="center" wrapText="1"/>
    </xf>
    <xf numFmtId="0" fontId="11" fillId="0" borderId="9" xfId="38" applyFont="1" applyFill="1" applyBorder="1" applyAlignment="1">
      <alignment horizontal="center" vertical="center" wrapText="1"/>
    </xf>
    <xf numFmtId="49" fontId="11" fillId="0" borderId="9" xfId="38" applyNumberFormat="1" applyFont="1" applyFill="1" applyBorder="1" applyAlignment="1">
      <alignment horizontal="center" vertical="center" wrapText="1"/>
    </xf>
    <xf numFmtId="0" fontId="11" fillId="0" borderId="22" xfId="45" applyBorder="1" applyAlignment="1" applyProtection="1">
      <alignment horizontal="justify" wrapText="1"/>
      <protection hidden="1"/>
    </xf>
    <xf numFmtId="0" fontId="11" fillId="0" borderId="100" xfId="45" applyBorder="1" applyAlignment="1" applyProtection="1">
      <alignment horizontal="justify" wrapText="1"/>
      <protection hidden="1"/>
    </xf>
    <xf numFmtId="0" fontId="11" fillId="0" borderId="119" xfId="45" applyBorder="1" applyAlignment="1" applyProtection="1">
      <alignment horizontal="justify" wrapText="1"/>
      <protection hidden="1"/>
    </xf>
    <xf numFmtId="0" fontId="22" fillId="27" borderId="18" xfId="45" applyFont="1" applyFill="1" applyBorder="1" applyAlignment="1" applyProtection="1">
      <alignment horizontal="center" vertical="center"/>
      <protection hidden="1"/>
    </xf>
    <xf numFmtId="0" fontId="22" fillId="27" borderId="22" xfId="45" applyFont="1" applyFill="1" applyBorder="1" applyAlignment="1" applyProtection="1">
      <alignment horizontal="center" vertical="center"/>
      <protection hidden="1"/>
    </xf>
    <xf numFmtId="0" fontId="22" fillId="27" borderId="100" xfId="45" applyFont="1" applyFill="1" applyBorder="1" applyAlignment="1" applyProtection="1">
      <alignment horizontal="center" vertical="center"/>
      <protection hidden="1"/>
    </xf>
    <xf numFmtId="0" fontId="22" fillId="27" borderId="119" xfId="45" applyFont="1" applyFill="1" applyBorder="1" applyAlignment="1" applyProtection="1">
      <alignment horizontal="center" vertical="center"/>
      <protection hidden="1"/>
    </xf>
    <xf numFmtId="9" fontId="21" fillId="0" borderId="51" xfId="38" applyNumberFormat="1" applyFont="1" applyFill="1" applyBorder="1" applyAlignment="1">
      <alignment horizontal="center" vertical="center" wrapText="1"/>
    </xf>
    <xf numFmtId="9" fontId="21" fillId="0" borderId="52" xfId="38" applyNumberFormat="1" applyFont="1" applyFill="1" applyBorder="1" applyAlignment="1">
      <alignment horizontal="center" vertical="center" wrapText="1"/>
    </xf>
    <xf numFmtId="0" fontId="21" fillId="0" borderId="51" xfId="38" applyFont="1" applyFill="1" applyBorder="1" applyAlignment="1">
      <alignment horizontal="center" vertical="center" wrapText="1"/>
    </xf>
    <xf numFmtId="0" fontId="21" fillId="0" borderId="52" xfId="38" applyFont="1" applyFill="1" applyBorder="1" applyAlignment="1">
      <alignment horizontal="center" vertical="center" wrapText="1"/>
    </xf>
    <xf numFmtId="49" fontId="11" fillId="0" borderId="54" xfId="38" applyNumberFormat="1" applyFont="1" applyFill="1" applyBorder="1" applyAlignment="1">
      <alignment horizontal="center" vertical="center" wrapText="1"/>
    </xf>
    <xf numFmtId="0" fontId="21" fillId="27" borderId="124" xfId="38" applyFont="1" applyFill="1" applyBorder="1" applyAlignment="1">
      <alignment horizontal="center" vertical="center" wrapText="1"/>
    </xf>
    <xf numFmtId="0" fontId="21" fillId="27" borderId="53" xfId="38" applyFont="1" applyFill="1" applyBorder="1" applyAlignment="1">
      <alignment horizontal="center" vertical="center" wrapText="1"/>
    </xf>
    <xf numFmtId="0" fontId="21" fillId="27" borderId="36" xfId="38" applyFont="1" applyFill="1" applyBorder="1" applyAlignment="1">
      <alignment horizontal="center" vertical="center" wrapText="1"/>
    </xf>
    <xf numFmtId="0" fontId="21" fillId="27" borderId="54" xfId="38" applyFont="1" applyFill="1" applyBorder="1" applyAlignment="1">
      <alignment horizontal="center" vertical="center" wrapText="1"/>
    </xf>
    <xf numFmtId="0" fontId="21" fillId="27" borderId="85" xfId="38" applyFont="1" applyFill="1" applyBorder="1" applyAlignment="1">
      <alignment horizontal="center" vertical="center" wrapText="1"/>
    </xf>
    <xf numFmtId="0" fontId="21" fillId="27" borderId="71" xfId="38" applyFont="1" applyFill="1" applyBorder="1" applyAlignment="1">
      <alignment horizontal="center" vertical="center" wrapText="1"/>
    </xf>
    <xf numFmtId="0" fontId="21" fillId="27" borderId="61" xfId="38" applyFont="1" applyFill="1" applyBorder="1" applyAlignment="1">
      <alignment horizontal="center" vertical="center" wrapText="1"/>
    </xf>
    <xf numFmtId="0" fontId="21" fillId="27" borderId="76" xfId="38" applyFont="1" applyFill="1" applyBorder="1" applyAlignment="1">
      <alignment horizontal="center" vertical="center" wrapText="1"/>
    </xf>
    <xf numFmtId="0" fontId="21" fillId="27" borderId="121" xfId="38" applyFont="1" applyFill="1" applyBorder="1" applyAlignment="1">
      <alignment horizontal="center" vertical="center" wrapText="1"/>
    </xf>
    <xf numFmtId="0" fontId="21" fillId="27" borderId="75" xfId="38" applyFont="1" applyFill="1" applyBorder="1" applyAlignment="1">
      <alignment horizontal="center" vertical="center" wrapText="1"/>
    </xf>
    <xf numFmtId="0" fontId="22" fillId="27" borderId="77" xfId="0" applyFont="1" applyFill="1" applyBorder="1" applyAlignment="1">
      <alignment horizontal="center" vertical="center" wrapText="1"/>
    </xf>
    <xf numFmtId="0" fontId="22" fillId="27" borderId="120" xfId="0" applyFont="1" applyFill="1" applyBorder="1" applyAlignment="1">
      <alignment horizontal="center" vertical="center" wrapText="1"/>
    </xf>
    <xf numFmtId="0" fontId="22" fillId="27" borderId="121" xfId="45" applyFont="1" applyFill="1" applyBorder="1" applyAlignment="1" applyProtection="1">
      <alignment horizontal="center" vertical="center" wrapText="1"/>
      <protection hidden="1"/>
    </xf>
    <xf numFmtId="0" fontId="19" fillId="0" borderId="22" xfId="38" applyFont="1" applyFill="1" applyBorder="1" applyAlignment="1">
      <alignment horizontal="justify" vertical="center" wrapText="1"/>
    </xf>
    <xf numFmtId="0" fontId="19" fillId="0" borderId="100" xfId="38" applyFont="1" applyFill="1" applyBorder="1" applyAlignment="1">
      <alignment horizontal="justify" vertical="center" wrapText="1"/>
    </xf>
    <xf numFmtId="0" fontId="19" fillId="0" borderId="119" xfId="38" applyFont="1" applyFill="1" applyBorder="1" applyAlignment="1">
      <alignment horizontal="justify" vertical="center" wrapText="1"/>
    </xf>
    <xf numFmtId="10" fontId="11" fillId="0" borderId="9" xfId="38" applyNumberFormat="1" applyFont="1" applyFill="1" applyBorder="1" applyAlignment="1" applyProtection="1">
      <alignment horizontal="center" vertical="center" wrapText="1"/>
    </xf>
    <xf numFmtId="49" fontId="11" fillId="0" borderId="54" xfId="38" applyNumberFormat="1" applyFont="1" applyFill="1" applyBorder="1" applyAlignment="1" applyProtection="1">
      <alignment horizontal="center" vertical="center" wrapText="1"/>
      <protection locked="0"/>
    </xf>
    <xf numFmtId="10" fontId="11" fillId="0" borderId="38" xfId="38" applyNumberFormat="1" applyFont="1" applyFill="1" applyBorder="1" applyAlignment="1" applyProtection="1">
      <alignment horizontal="center" vertical="center" wrapText="1"/>
    </xf>
    <xf numFmtId="49" fontId="11" fillId="0" borderId="38" xfId="38" applyNumberFormat="1" applyFont="1" applyFill="1" applyBorder="1" applyAlignment="1" applyProtection="1">
      <alignment horizontal="center" vertical="center" wrapText="1"/>
      <protection locked="0"/>
    </xf>
    <xf numFmtId="0" fontId="19" fillId="0" borderId="102" xfId="38" applyFont="1" applyFill="1" applyBorder="1" applyAlignment="1">
      <alignment horizontal="justify" vertical="center" wrapText="1"/>
    </xf>
    <xf numFmtId="0" fontId="19" fillId="0" borderId="59" xfId="38" applyFont="1" applyFill="1" applyBorder="1" applyAlignment="1">
      <alignment horizontal="justify" vertical="center" wrapText="1"/>
    </xf>
    <xf numFmtId="0" fontId="19" fillId="0" borderId="60" xfId="38" applyFont="1" applyFill="1" applyBorder="1" applyAlignment="1">
      <alignment horizontal="justify" vertical="center" wrapText="1"/>
    </xf>
    <xf numFmtId="0" fontId="21" fillId="27" borderId="81" xfId="38" applyFont="1" applyFill="1" applyBorder="1" applyAlignment="1">
      <alignment horizontal="center" vertical="center" wrapText="1"/>
    </xf>
    <xf numFmtId="0" fontId="21" fillId="27" borderId="55" xfId="38" applyFont="1" applyFill="1" applyBorder="1" applyAlignment="1">
      <alignment horizontal="center" vertical="center" wrapText="1"/>
    </xf>
    <xf numFmtId="0" fontId="21" fillId="27" borderId="19" xfId="38" applyFont="1" applyFill="1" applyBorder="1" applyAlignment="1">
      <alignment horizontal="center" vertical="center" wrapText="1"/>
    </xf>
    <xf numFmtId="0" fontId="21" fillId="27" borderId="9" xfId="38" applyFont="1" applyFill="1" applyBorder="1" applyAlignment="1">
      <alignment horizontal="center" vertical="center" wrapText="1"/>
    </xf>
    <xf numFmtId="0" fontId="21" fillId="27" borderId="77" xfId="38" applyFont="1" applyFill="1" applyBorder="1" applyAlignment="1">
      <alignment horizontal="center" vertical="center" wrapText="1"/>
    </xf>
    <xf numFmtId="0" fontId="21" fillId="27" borderId="73" xfId="38" applyFont="1" applyFill="1" applyBorder="1" applyAlignment="1">
      <alignment horizontal="center" vertical="center" wrapText="1"/>
    </xf>
    <xf numFmtId="0" fontId="21" fillId="27" borderId="120" xfId="38" applyFont="1" applyFill="1" applyBorder="1" applyAlignment="1">
      <alignment horizontal="center" vertical="center" wrapText="1"/>
    </xf>
    <xf numFmtId="0" fontId="21" fillId="27" borderId="66" xfId="38" applyFont="1" applyFill="1" applyBorder="1" applyAlignment="1">
      <alignment horizontal="center" vertical="center" wrapText="1"/>
    </xf>
    <xf numFmtId="0" fontId="21" fillId="27" borderId="100" xfId="38" applyFont="1" applyFill="1" applyBorder="1" applyAlignment="1">
      <alignment horizontal="center" vertical="center" wrapText="1"/>
    </xf>
    <xf numFmtId="0" fontId="21" fillId="27" borderId="67" xfId="38" applyFont="1" applyFill="1" applyBorder="1" applyAlignment="1">
      <alignment horizontal="center" vertical="center" wrapText="1"/>
    </xf>
    <xf numFmtId="4" fontId="11" fillId="29" borderId="66" xfId="45" applyNumberFormat="1" applyFill="1" applyBorder="1" applyAlignment="1" applyProtection="1">
      <alignment horizontal="center" vertical="center"/>
      <protection hidden="1"/>
    </xf>
    <xf numFmtId="4" fontId="11" fillId="29" borderId="100" xfId="45" applyNumberFormat="1" applyFill="1" applyBorder="1" applyAlignment="1" applyProtection="1">
      <alignment horizontal="center" vertical="center"/>
      <protection hidden="1"/>
    </xf>
    <xf numFmtId="4" fontId="11" fillId="29" borderId="119" xfId="45" applyNumberFormat="1" applyFill="1" applyBorder="1" applyAlignment="1" applyProtection="1">
      <alignment horizontal="center" vertical="center"/>
      <protection hidden="1"/>
    </xf>
    <xf numFmtId="0" fontId="21" fillId="27" borderId="93" xfId="38" applyFont="1" applyFill="1" applyBorder="1" applyAlignment="1">
      <alignment horizontal="center" vertical="center" wrapText="1"/>
    </xf>
    <xf numFmtId="0" fontId="21" fillId="27" borderId="78" xfId="38" applyFont="1" applyFill="1" applyBorder="1" applyAlignment="1">
      <alignment horizontal="center" vertical="center" wrapText="1"/>
    </xf>
    <xf numFmtId="0" fontId="21" fillId="27" borderId="70" xfId="45" applyFont="1" applyFill="1" applyBorder="1" applyAlignment="1" applyProtection="1">
      <alignment horizontal="center" vertical="center" wrapText="1"/>
    </xf>
    <xf numFmtId="0" fontId="21" fillId="27" borderId="71" xfId="45" applyFont="1" applyFill="1" applyBorder="1" applyAlignment="1" applyProtection="1">
      <alignment horizontal="center" vertical="center" wrapText="1"/>
    </xf>
    <xf numFmtId="0" fontId="21" fillId="27" borderId="86" xfId="45" applyFont="1" applyFill="1" applyBorder="1" applyAlignment="1" applyProtection="1">
      <alignment horizontal="center" vertical="center" wrapText="1"/>
    </xf>
    <xf numFmtId="0" fontId="21" fillId="27" borderId="125" xfId="45" applyFont="1" applyFill="1" applyBorder="1" applyAlignment="1" applyProtection="1">
      <alignment horizontal="center" vertical="center" wrapText="1"/>
    </xf>
    <xf numFmtId="0" fontId="21" fillId="27" borderId="121" xfId="45" applyFont="1" applyFill="1" applyBorder="1" applyAlignment="1" applyProtection="1">
      <alignment horizontal="center" vertical="center" wrapText="1"/>
    </xf>
    <xf numFmtId="0" fontId="21" fillId="27" borderId="126" xfId="45" applyFont="1" applyFill="1" applyBorder="1" applyAlignment="1" applyProtection="1">
      <alignment horizontal="center" vertical="center" wrapText="1"/>
    </xf>
    <xf numFmtId="0" fontId="21" fillId="27" borderId="66" xfId="0" applyFont="1" applyFill="1" applyBorder="1" applyAlignment="1">
      <alignment horizontal="center" vertical="center" wrapText="1"/>
    </xf>
    <xf numFmtId="0" fontId="21" fillId="27" borderId="67" xfId="0" applyFont="1" applyFill="1" applyBorder="1" applyAlignment="1">
      <alignment horizontal="center" vertical="center" wrapText="1"/>
    </xf>
    <xf numFmtId="9" fontId="22" fillId="0" borderId="47" xfId="38" applyNumberFormat="1" applyFont="1" applyFill="1" applyBorder="1" applyAlignment="1">
      <alignment horizontal="center" vertical="center" wrapText="1"/>
    </xf>
    <xf numFmtId="0" fontId="22" fillId="0" borderId="47" xfId="38" applyFont="1" applyFill="1" applyBorder="1" applyAlignment="1">
      <alignment horizontal="center" vertical="center" wrapText="1"/>
    </xf>
    <xf numFmtId="0" fontId="22" fillId="0" borderId="51" xfId="38" applyFont="1" applyFill="1" applyBorder="1" applyAlignment="1">
      <alignment horizontal="center" vertical="center" wrapText="1"/>
    </xf>
    <xf numFmtId="0" fontId="22" fillId="0" borderId="49" xfId="38" applyFont="1" applyFill="1" applyBorder="1" applyAlignment="1">
      <alignment horizontal="center" vertical="center" wrapText="1"/>
    </xf>
    <xf numFmtId="0" fontId="22" fillId="0" borderId="52" xfId="38" applyFont="1" applyFill="1" applyBorder="1" applyAlignment="1">
      <alignment horizontal="center" vertical="center" wrapText="1"/>
    </xf>
    <xf numFmtId="9" fontId="19" fillId="0" borderId="58" xfId="38" applyNumberFormat="1" applyFont="1" applyFill="1" applyBorder="1" applyAlignment="1">
      <alignment horizontal="justify" vertical="center" wrapText="1"/>
    </xf>
    <xf numFmtId="9" fontId="19" fillId="0" borderId="59" xfId="38" applyNumberFormat="1" applyFont="1" applyFill="1" applyBorder="1" applyAlignment="1">
      <alignment horizontal="justify" vertical="center" wrapText="1"/>
    </xf>
    <xf numFmtId="9" fontId="19" fillId="0" borderId="60" xfId="38" applyNumberFormat="1" applyFont="1" applyFill="1" applyBorder="1" applyAlignment="1">
      <alignment horizontal="justify" vertical="center" wrapText="1"/>
    </xf>
    <xf numFmtId="10" fontId="11" fillId="0" borderId="54" xfId="38" applyNumberFormat="1" applyFont="1" applyFill="1" applyBorder="1" applyAlignment="1" applyProtection="1">
      <alignment horizontal="center" vertical="center" wrapText="1"/>
    </xf>
    <xf numFmtId="4" fontId="11" fillId="0" borderId="66" xfId="45" applyNumberFormat="1" applyFill="1" applyBorder="1" applyAlignment="1" applyProtection="1">
      <alignment horizontal="center"/>
      <protection hidden="1"/>
    </xf>
    <xf numFmtId="4" fontId="11" fillId="0" borderId="100" xfId="45" applyNumberFormat="1" applyFill="1" applyBorder="1" applyAlignment="1" applyProtection="1">
      <alignment horizontal="center"/>
      <protection hidden="1"/>
    </xf>
    <xf numFmtId="4" fontId="11" fillId="0" borderId="119" xfId="45" applyNumberFormat="1" applyFill="1" applyBorder="1" applyAlignment="1" applyProtection="1">
      <alignment horizontal="center"/>
      <protection hidden="1"/>
    </xf>
    <xf numFmtId="4" fontId="11" fillId="0" borderId="58" xfId="45" applyNumberFormat="1" applyFill="1" applyBorder="1" applyAlignment="1" applyProtection="1">
      <alignment horizontal="left" vertical="top" wrapText="1"/>
      <protection hidden="1"/>
    </xf>
    <xf numFmtId="4" fontId="11" fillId="0" borderId="59" xfId="45" applyNumberFormat="1" applyFill="1" applyBorder="1" applyAlignment="1" applyProtection="1">
      <alignment horizontal="left" vertical="top" wrapText="1"/>
      <protection hidden="1"/>
    </xf>
    <xf numFmtId="4" fontId="11" fillId="0" borderId="60" xfId="45" applyNumberFormat="1" applyFill="1" applyBorder="1" applyAlignment="1" applyProtection="1">
      <alignment horizontal="left" vertical="top" wrapText="1"/>
      <protection hidden="1"/>
    </xf>
    <xf numFmtId="3" fontId="22" fillId="29" borderId="54" xfId="45" applyNumberFormat="1" applyFont="1" applyFill="1" applyBorder="1" applyAlignment="1" applyProtection="1">
      <alignment horizontal="center" vertical="center" wrapText="1"/>
      <protection hidden="1"/>
    </xf>
    <xf numFmtId="3" fontId="22" fillId="29" borderId="9" xfId="45" applyNumberFormat="1" applyFont="1" applyFill="1" applyBorder="1" applyAlignment="1" applyProtection="1">
      <alignment horizontal="center" vertical="center" wrapText="1"/>
      <protection hidden="1"/>
    </xf>
    <xf numFmtId="3" fontId="22" fillId="29" borderId="38" xfId="45" applyNumberFormat="1" applyFont="1" applyFill="1" applyBorder="1" applyAlignment="1" applyProtection="1">
      <alignment horizontal="center" vertical="center" wrapText="1"/>
      <protection hidden="1"/>
    </xf>
    <xf numFmtId="0" fontId="22" fillId="29" borderId="38" xfId="45" applyFont="1" applyFill="1" applyBorder="1" applyAlignment="1" applyProtection="1">
      <alignment horizontal="center" vertical="center"/>
      <protection hidden="1"/>
    </xf>
    <xf numFmtId="0" fontId="22" fillId="29" borderId="9" xfId="45" applyFont="1" applyFill="1" applyBorder="1" applyAlignment="1" applyProtection="1">
      <alignment horizontal="center" vertical="center"/>
      <protection hidden="1"/>
    </xf>
    <xf numFmtId="0" fontId="22" fillId="29" borderId="54" xfId="45" applyFont="1" applyFill="1" applyBorder="1" applyAlignment="1" applyProtection="1">
      <alignment horizontal="center" vertical="center"/>
      <protection hidden="1"/>
    </xf>
    <xf numFmtId="0" fontId="21" fillId="27" borderId="36" xfId="45" applyFont="1" applyFill="1" applyBorder="1" applyAlignment="1" applyProtection="1">
      <alignment horizontal="center" vertical="center" wrapText="1"/>
      <protection hidden="1"/>
    </xf>
    <xf numFmtId="0" fontId="21" fillId="27" borderId="54" xfId="45" applyFont="1" applyFill="1" applyBorder="1" applyAlignment="1" applyProtection="1">
      <alignment horizontal="center" vertical="center" wrapText="1"/>
      <protection hidden="1"/>
    </xf>
    <xf numFmtId="4" fontId="11" fillId="0" borderId="77" xfId="45" applyNumberFormat="1" applyFill="1" applyBorder="1" applyAlignment="1" applyProtection="1">
      <alignment horizontal="center"/>
      <protection hidden="1"/>
    </xf>
    <xf numFmtId="4" fontId="11" fillId="0" borderId="73" xfId="45" applyNumberFormat="1" applyFill="1" applyBorder="1" applyAlignment="1" applyProtection="1">
      <alignment horizontal="center"/>
      <protection hidden="1"/>
    </xf>
    <xf numFmtId="4" fontId="11" fillId="0" borderId="74" xfId="45" applyNumberFormat="1" applyFill="1" applyBorder="1" applyAlignment="1" applyProtection="1">
      <alignment horizontal="center"/>
      <protection hidden="1"/>
    </xf>
    <xf numFmtId="0" fontId="22" fillId="0" borderId="56" xfId="0" applyFont="1" applyBorder="1" applyAlignment="1">
      <alignment horizontal="center"/>
    </xf>
    <xf numFmtId="0" fontId="22" fillId="0" borderId="38" xfId="0" applyFont="1" applyBorder="1" applyAlignment="1">
      <alignment horizontal="center"/>
    </xf>
    <xf numFmtId="0" fontId="11" fillId="0" borderId="55" xfId="45" applyBorder="1" applyAlignment="1" applyProtection="1">
      <alignment horizontal="center" vertical="center" wrapText="1"/>
      <protection hidden="1"/>
    </xf>
    <xf numFmtId="0" fontId="0" fillId="0" borderId="9" xfId="0" applyBorder="1" applyAlignment="1">
      <alignment horizontal="center" vertical="center"/>
    </xf>
    <xf numFmtId="0" fontId="0" fillId="0" borderId="78" xfId="0" applyBorder="1" applyAlignment="1">
      <alignment horizontal="center" vertical="center"/>
    </xf>
    <xf numFmtId="0" fontId="21" fillId="27" borderId="71" xfId="45" applyFont="1" applyFill="1" applyBorder="1" applyAlignment="1" applyProtection="1">
      <alignment horizontal="center" vertical="center" wrapText="1"/>
      <protection hidden="1"/>
    </xf>
    <xf numFmtId="0" fontId="21" fillId="27" borderId="86" xfId="45" applyFont="1" applyFill="1" applyBorder="1" applyAlignment="1" applyProtection="1">
      <alignment horizontal="center" vertical="center" wrapText="1"/>
      <protection hidden="1"/>
    </xf>
    <xf numFmtId="0" fontId="21" fillId="27" borderId="0" xfId="45" applyFont="1" applyFill="1" applyBorder="1" applyAlignment="1" applyProtection="1">
      <alignment horizontal="center" vertical="center" wrapText="1"/>
      <protection hidden="1"/>
    </xf>
    <xf numFmtId="0" fontId="21" fillId="27" borderId="88" xfId="45" applyFont="1" applyFill="1" applyBorder="1" applyAlignment="1" applyProtection="1">
      <alignment horizontal="center" vertical="center" wrapText="1"/>
      <protection hidden="1"/>
    </xf>
    <xf numFmtId="0" fontId="21" fillId="27" borderId="76" xfId="45" applyFont="1" applyFill="1" applyBorder="1" applyAlignment="1" applyProtection="1">
      <alignment horizontal="center" vertical="center" wrapText="1"/>
      <protection hidden="1"/>
    </xf>
    <xf numFmtId="0" fontId="21" fillId="27" borderId="121" xfId="45" applyFont="1" applyFill="1" applyBorder="1" applyAlignment="1" applyProtection="1">
      <alignment horizontal="center" vertical="center" wrapText="1"/>
      <protection hidden="1"/>
    </xf>
    <xf numFmtId="0" fontId="21" fillId="27" borderId="126" xfId="45" applyFont="1" applyFill="1" applyBorder="1" applyAlignment="1" applyProtection="1">
      <alignment horizontal="center" vertical="center" wrapText="1"/>
      <protection hidden="1"/>
    </xf>
    <xf numFmtId="9" fontId="19" fillId="29" borderId="66" xfId="38" applyNumberFormat="1" applyFont="1" applyFill="1" applyBorder="1" applyAlignment="1">
      <alignment horizontal="justify" vertical="center" wrapText="1"/>
    </xf>
    <xf numFmtId="9" fontId="19" fillId="29" borderId="100" xfId="38" applyNumberFormat="1" applyFont="1" applyFill="1" applyBorder="1" applyAlignment="1">
      <alignment horizontal="justify" vertical="center" wrapText="1"/>
    </xf>
    <xf numFmtId="9" fontId="19" fillId="29" borderId="119" xfId="38" applyNumberFormat="1" applyFont="1" applyFill="1" applyBorder="1" applyAlignment="1">
      <alignment horizontal="justify" vertical="center" wrapText="1"/>
    </xf>
    <xf numFmtId="0" fontId="21" fillId="27" borderId="84" xfId="45" applyFont="1" applyFill="1" applyBorder="1" applyAlignment="1" applyProtection="1">
      <alignment horizontal="center" vertical="center" wrapText="1"/>
      <protection hidden="1"/>
    </xf>
    <xf numFmtId="0" fontId="11" fillId="29" borderId="66" xfId="45" applyFont="1" applyFill="1" applyBorder="1" applyAlignment="1" applyProtection="1">
      <alignment horizontal="center" vertical="center"/>
      <protection hidden="1"/>
    </xf>
    <xf numFmtId="0" fontId="11" fillId="29" borderId="67" xfId="45" applyFont="1" applyFill="1" applyBorder="1" applyAlignment="1" applyProtection="1">
      <alignment horizontal="center" vertical="center"/>
      <protection hidden="1"/>
    </xf>
    <xf numFmtId="0" fontId="11" fillId="0" borderId="9" xfId="45" applyFont="1" applyFill="1" applyBorder="1" applyAlignment="1" applyProtection="1">
      <alignment horizontal="center" vertical="center"/>
      <protection hidden="1"/>
    </xf>
    <xf numFmtId="0" fontId="11" fillId="0" borderId="9" xfId="45" applyFont="1" applyFill="1" applyBorder="1" applyAlignment="1" applyProtection="1">
      <alignment horizontal="left" vertical="center" wrapText="1"/>
      <protection hidden="1"/>
    </xf>
    <xf numFmtId="0" fontId="11" fillId="0" borderId="9" xfId="45" applyFont="1" applyBorder="1" applyAlignment="1" applyProtection="1">
      <alignment horizontal="center" vertical="center"/>
      <protection hidden="1"/>
    </xf>
    <xf numFmtId="0" fontId="11" fillId="0" borderId="55" xfId="45" applyFont="1" applyFill="1" applyBorder="1" applyAlignment="1" applyProtection="1">
      <alignment horizontal="left" vertical="center"/>
      <protection hidden="1"/>
    </xf>
    <xf numFmtId="0" fontId="11" fillId="0" borderId="9" xfId="45" applyFont="1" applyFill="1" applyBorder="1" applyAlignment="1" applyProtection="1">
      <alignment horizontal="left" vertical="center"/>
      <protection hidden="1"/>
    </xf>
    <xf numFmtId="4" fontId="11" fillId="0" borderId="66" xfId="45" applyNumberFormat="1" applyFill="1" applyBorder="1" applyAlignment="1" applyProtection="1">
      <alignment horizontal="center" vertical="center"/>
      <protection hidden="1"/>
    </xf>
    <xf numFmtId="4" fontId="11" fillId="0" borderId="100" xfId="45" applyNumberFormat="1" applyFill="1" applyBorder="1" applyAlignment="1" applyProtection="1">
      <alignment horizontal="center" vertical="center"/>
      <protection hidden="1"/>
    </xf>
    <xf numFmtId="4" fontId="11" fillId="0" borderId="119" xfId="45" applyNumberFormat="1" applyFill="1" applyBorder="1" applyAlignment="1" applyProtection="1">
      <alignment horizontal="center" vertical="center"/>
      <protection hidden="1"/>
    </xf>
    <xf numFmtId="0" fontId="11" fillId="0" borderId="102" xfId="45" applyFont="1" applyFill="1" applyBorder="1" applyAlignment="1" applyProtection="1">
      <alignment horizontal="center" vertical="center" wrapText="1"/>
      <protection hidden="1"/>
    </xf>
    <xf numFmtId="0" fontId="11" fillId="0" borderId="72" xfId="45" applyFont="1" applyFill="1" applyBorder="1" applyAlignment="1" applyProtection="1">
      <alignment horizontal="center" vertical="center" wrapText="1"/>
      <protection hidden="1"/>
    </xf>
    <xf numFmtId="0" fontId="11" fillId="0" borderId="125" xfId="45" applyFont="1" applyFill="1" applyBorder="1" applyAlignment="1" applyProtection="1">
      <alignment horizontal="left" vertical="center"/>
      <protection hidden="1"/>
    </xf>
    <xf numFmtId="0" fontId="11" fillId="0" borderId="75" xfId="45" applyFont="1" applyFill="1" applyBorder="1" applyAlignment="1" applyProtection="1">
      <alignment horizontal="left" vertical="center"/>
      <protection hidden="1"/>
    </xf>
    <xf numFmtId="0" fontId="25" fillId="0" borderId="68" xfId="45" applyFont="1" applyBorder="1" applyAlignment="1" applyProtection="1">
      <alignment horizontal="center" vertical="center"/>
      <protection hidden="1"/>
    </xf>
    <xf numFmtId="0" fontId="11" fillId="29" borderId="22" xfId="45" applyFont="1" applyFill="1" applyBorder="1" applyAlignment="1" applyProtection="1">
      <alignment horizontal="left" vertical="center"/>
      <protection hidden="1"/>
    </xf>
    <xf numFmtId="0" fontId="11" fillId="29" borderId="67" xfId="45" applyFont="1" applyFill="1" applyBorder="1" applyAlignment="1" applyProtection="1">
      <alignment horizontal="left" vertical="center"/>
      <protection hidden="1"/>
    </xf>
    <xf numFmtId="0" fontId="22" fillId="27" borderId="61" xfId="45" applyFont="1" applyFill="1" applyBorder="1" applyAlignment="1" applyProtection="1">
      <alignment horizontal="center" vertical="center"/>
      <protection hidden="1"/>
    </xf>
    <xf numFmtId="10" fontId="11" fillId="0" borderId="9" xfId="38" applyNumberFormat="1" applyFont="1" applyFill="1" applyBorder="1" applyAlignment="1">
      <alignment horizontal="center" vertical="center" wrapText="1"/>
    </xf>
    <xf numFmtId="0" fontId="11" fillId="0" borderId="76" xfId="45" applyFont="1" applyFill="1" applyBorder="1" applyAlignment="1" applyProtection="1">
      <alignment horizontal="center" vertical="center"/>
      <protection hidden="1"/>
    </xf>
    <xf numFmtId="0" fontId="11" fillId="0" borderId="75" xfId="45" applyFont="1" applyFill="1" applyBorder="1" applyAlignment="1" applyProtection="1">
      <alignment horizontal="center" vertical="center"/>
      <protection hidden="1"/>
    </xf>
    <xf numFmtId="4" fontId="11" fillId="0" borderId="58" xfId="45" applyNumberFormat="1" applyFill="1" applyBorder="1" applyAlignment="1" applyProtection="1">
      <alignment horizontal="center" vertical="center" wrapText="1"/>
      <protection hidden="1"/>
    </xf>
    <xf numFmtId="4" fontId="11" fillId="0" borderId="59" xfId="45" applyNumberFormat="1" applyFill="1" applyBorder="1" applyAlignment="1" applyProtection="1">
      <alignment horizontal="center" vertical="center" wrapText="1"/>
      <protection hidden="1"/>
    </xf>
    <xf numFmtId="0" fontId="22" fillId="0" borderId="66" xfId="45" applyFont="1" applyFill="1" applyBorder="1" applyAlignment="1" applyProtection="1">
      <alignment horizontal="center" vertical="center"/>
      <protection hidden="1"/>
    </xf>
    <xf numFmtId="0" fontId="22" fillId="0" borderId="100" xfId="45" applyFont="1" applyFill="1" applyBorder="1" applyAlignment="1" applyProtection="1">
      <alignment horizontal="center" vertical="center"/>
      <protection hidden="1"/>
    </xf>
    <xf numFmtId="0" fontId="22" fillId="0" borderId="67" xfId="45" applyFont="1" applyFill="1" applyBorder="1" applyAlignment="1" applyProtection="1">
      <alignment horizontal="center" vertical="center"/>
      <protection hidden="1"/>
    </xf>
    <xf numFmtId="3" fontId="22" fillId="0" borderId="68" xfId="45" applyNumberFormat="1" applyFont="1" applyFill="1" applyBorder="1" applyAlignment="1" applyProtection="1">
      <alignment horizontal="center" vertical="center" wrapText="1"/>
      <protection hidden="1"/>
    </xf>
    <xf numFmtId="3" fontId="22" fillId="0" borderId="84" xfId="45" applyNumberFormat="1" applyFont="1" applyFill="1" applyBorder="1" applyAlignment="1" applyProtection="1">
      <alignment horizontal="center" vertical="center" wrapText="1"/>
      <protection hidden="1"/>
    </xf>
    <xf numFmtId="3" fontId="22" fillId="0" borderId="69" xfId="45" applyNumberFormat="1" applyFont="1" applyFill="1" applyBorder="1" applyAlignment="1" applyProtection="1">
      <alignment horizontal="center" vertical="center" wrapText="1"/>
      <protection hidden="1"/>
    </xf>
    <xf numFmtId="0" fontId="11" fillId="0" borderId="69" xfId="45" applyFont="1" applyFill="1" applyBorder="1" applyAlignment="1" applyProtection="1">
      <alignment horizontal="center" vertical="center"/>
      <protection hidden="1"/>
    </xf>
    <xf numFmtId="0" fontId="11" fillId="0" borderId="38" xfId="45" applyFont="1" applyFill="1" applyBorder="1" applyAlignment="1" applyProtection="1">
      <alignment horizontal="center" vertical="center"/>
      <protection hidden="1"/>
    </xf>
    <xf numFmtId="0" fontId="11" fillId="0" borderId="38" xfId="45" applyFont="1" applyFill="1" applyBorder="1" applyAlignment="1" applyProtection="1">
      <alignment horizontal="left" vertical="center" wrapText="1"/>
      <protection hidden="1"/>
    </xf>
    <xf numFmtId="0" fontId="22" fillId="0" borderId="58" xfId="45" applyFont="1" applyFill="1" applyBorder="1" applyAlignment="1" applyProtection="1">
      <alignment horizontal="center" vertical="center"/>
      <protection hidden="1"/>
    </xf>
    <xf numFmtId="0" fontId="22" fillId="0" borderId="59" xfId="45" applyFont="1" applyFill="1" applyBorder="1" applyAlignment="1" applyProtection="1">
      <alignment horizontal="center" vertical="center"/>
      <protection hidden="1"/>
    </xf>
    <xf numFmtId="0" fontId="22" fillId="0" borderId="72" xfId="45" applyFont="1" applyFill="1" applyBorder="1" applyAlignment="1" applyProtection="1">
      <alignment horizontal="center" vertical="center"/>
      <protection hidden="1"/>
    </xf>
    <xf numFmtId="9" fontId="19" fillId="0" borderId="66" xfId="38" applyNumberFormat="1" applyFont="1" applyFill="1" applyBorder="1" applyAlignment="1">
      <alignment horizontal="center" vertical="center" wrapText="1"/>
    </xf>
    <xf numFmtId="9" fontId="19" fillId="0" borderId="100" xfId="38" applyNumberFormat="1" applyFont="1" applyFill="1" applyBorder="1" applyAlignment="1">
      <alignment horizontal="center" vertical="center" wrapText="1"/>
    </xf>
    <xf numFmtId="9" fontId="19" fillId="0" borderId="119" xfId="38" applyNumberFormat="1" applyFont="1" applyFill="1" applyBorder="1" applyAlignment="1">
      <alignment horizontal="center" vertical="center" wrapText="1"/>
    </xf>
    <xf numFmtId="0" fontId="11" fillId="0" borderId="9" xfId="45" applyFont="1" applyFill="1" applyBorder="1" applyAlignment="1" applyProtection="1">
      <alignment horizontal="justify" vertical="center" wrapText="1"/>
      <protection hidden="1"/>
    </xf>
    <xf numFmtId="4" fontId="11" fillId="0" borderId="85" xfId="45" applyNumberFormat="1" applyFill="1" applyBorder="1" applyAlignment="1" applyProtection="1">
      <alignment horizontal="center"/>
      <protection hidden="1"/>
    </xf>
    <xf numFmtId="4" fontId="11" fillId="0" borderId="71" xfId="45" applyNumberFormat="1" applyFill="1" applyBorder="1" applyAlignment="1" applyProtection="1">
      <alignment horizontal="center"/>
      <protection hidden="1"/>
    </xf>
    <xf numFmtId="4" fontId="11" fillId="0" borderId="86" xfId="45" applyNumberFormat="1" applyFill="1" applyBorder="1" applyAlignment="1" applyProtection="1">
      <alignment horizontal="center"/>
      <protection hidden="1"/>
    </xf>
    <xf numFmtId="0" fontId="21" fillId="27" borderId="69" xfId="45" applyFont="1" applyFill="1" applyBorder="1" applyAlignment="1" applyProtection="1">
      <alignment horizontal="center" vertical="center" wrapText="1"/>
      <protection hidden="1"/>
    </xf>
    <xf numFmtId="0" fontId="21" fillId="27" borderId="90" xfId="45" applyFont="1" applyFill="1" applyBorder="1" applyAlignment="1" applyProtection="1">
      <alignment horizontal="center" vertical="center" wrapText="1"/>
      <protection hidden="1"/>
    </xf>
    <xf numFmtId="0" fontId="21" fillId="27" borderId="91" xfId="45" applyFont="1" applyFill="1" applyBorder="1" applyAlignment="1" applyProtection="1">
      <alignment horizontal="center" vertical="center" wrapText="1"/>
      <protection hidden="1"/>
    </xf>
    <xf numFmtId="0" fontId="22" fillId="27" borderId="84" xfId="45" applyFont="1" applyFill="1" applyBorder="1" applyAlignment="1" applyProtection="1">
      <alignment horizontal="center" vertical="center" wrapText="1"/>
      <protection hidden="1"/>
    </xf>
    <xf numFmtId="0" fontId="22" fillId="27" borderId="69" xfId="45" applyFont="1" applyFill="1" applyBorder="1" applyAlignment="1" applyProtection="1">
      <alignment horizontal="center" vertical="center" wrapText="1"/>
      <protection hidden="1"/>
    </xf>
    <xf numFmtId="0" fontId="11" fillId="0" borderId="54" xfId="45" applyFont="1" applyFill="1" applyBorder="1" applyAlignment="1" applyProtection="1">
      <alignment horizontal="center" vertical="center"/>
      <protection hidden="1"/>
    </xf>
    <xf numFmtId="0" fontId="21" fillId="0" borderId="81" xfId="38" applyFont="1" applyFill="1" applyBorder="1" applyAlignment="1">
      <alignment horizontal="center" vertical="center" wrapText="1"/>
    </xf>
    <xf numFmtId="0" fontId="21" fillId="0" borderId="55" xfId="38" applyFont="1" applyFill="1" applyBorder="1" applyAlignment="1">
      <alignment horizontal="center" vertical="center" wrapText="1"/>
    </xf>
    <xf numFmtId="0" fontId="21" fillId="0" borderId="19" xfId="38" applyFont="1" applyFill="1" applyBorder="1" applyAlignment="1">
      <alignment horizontal="center" vertical="center" wrapText="1"/>
    </xf>
    <xf numFmtId="0" fontId="21" fillId="0" borderId="9" xfId="38" applyFont="1" applyFill="1" applyBorder="1" applyAlignment="1">
      <alignment horizontal="center" vertical="center" wrapText="1"/>
    </xf>
    <xf numFmtId="0" fontId="21" fillId="0" borderId="77" xfId="38" applyFont="1" applyFill="1" applyBorder="1" applyAlignment="1">
      <alignment horizontal="center" vertical="center" wrapText="1"/>
    </xf>
    <xf numFmtId="0" fontId="21" fillId="0" borderId="73" xfId="38" applyFont="1" applyFill="1" applyBorder="1" applyAlignment="1">
      <alignment horizontal="center" vertical="center" wrapText="1"/>
    </xf>
    <xf numFmtId="0" fontId="21" fillId="0" borderId="120" xfId="38" applyFont="1" applyFill="1" applyBorder="1" applyAlignment="1">
      <alignment horizontal="center" vertical="center" wrapText="1"/>
    </xf>
    <xf numFmtId="0" fontId="21" fillId="0" borderId="66" xfId="38" applyFont="1" applyFill="1" applyBorder="1" applyAlignment="1">
      <alignment horizontal="center" vertical="center" wrapText="1"/>
    </xf>
    <xf numFmtId="0" fontId="21" fillId="0" borderId="100" xfId="38" applyFont="1" applyFill="1" applyBorder="1" applyAlignment="1">
      <alignment horizontal="center" vertical="center" wrapText="1"/>
    </xf>
    <xf numFmtId="0" fontId="21" fillId="0" borderId="67" xfId="38" applyFont="1" applyFill="1" applyBorder="1" applyAlignment="1">
      <alignment horizontal="center" vertical="center" wrapText="1"/>
    </xf>
    <xf numFmtId="0" fontId="21" fillId="0" borderId="93" xfId="38" applyFont="1" applyFill="1" applyBorder="1" applyAlignment="1">
      <alignment horizontal="center" vertical="center" wrapText="1"/>
    </xf>
    <xf numFmtId="0" fontId="21" fillId="0" borderId="78" xfId="38"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1" fillId="0" borderId="67" xfId="0" applyFont="1" applyFill="1" applyBorder="1" applyAlignment="1">
      <alignment horizontal="center" vertical="center" wrapText="1"/>
    </xf>
    <xf numFmtId="10" fontId="11" fillId="0" borderId="58" xfId="38" applyNumberFormat="1" applyFont="1" applyFill="1" applyBorder="1" applyAlignment="1" applyProtection="1">
      <alignment horizontal="center" vertical="center" wrapText="1"/>
    </xf>
    <xf numFmtId="10" fontId="11" fillId="0" borderId="72" xfId="38" applyNumberFormat="1" applyFont="1" applyFill="1" applyBorder="1" applyAlignment="1" applyProtection="1">
      <alignment horizontal="center" vertical="center" wrapText="1"/>
    </xf>
    <xf numFmtId="0" fontId="11" fillId="0" borderId="51" xfId="45" applyBorder="1" applyAlignment="1" applyProtection="1">
      <alignment horizontal="center"/>
      <protection hidden="1"/>
    </xf>
    <xf numFmtId="0" fontId="11" fillId="0" borderId="52" xfId="45" applyBorder="1" applyAlignment="1" applyProtection="1">
      <alignment horizontal="center"/>
      <protection hidden="1"/>
    </xf>
    <xf numFmtId="0" fontId="11" fillId="0" borderId="58" xfId="45" applyFont="1" applyBorder="1" applyAlignment="1" applyProtection="1">
      <alignment horizontal="center" vertical="center"/>
      <protection hidden="1"/>
    </xf>
    <xf numFmtId="0" fontId="11" fillId="0" borderId="72" xfId="45" applyFont="1" applyBorder="1" applyAlignment="1" applyProtection="1">
      <alignment horizontal="center" vertical="center"/>
      <protection hidden="1"/>
    </xf>
    <xf numFmtId="0" fontId="25" fillId="29" borderId="68" xfId="45" applyFont="1" applyFill="1" applyBorder="1" applyAlignment="1" applyProtection="1">
      <alignment horizontal="center" vertical="center"/>
      <protection hidden="1"/>
    </xf>
    <xf numFmtId="0" fontId="25" fillId="29" borderId="84" xfId="45" applyFont="1" applyFill="1" applyBorder="1" applyAlignment="1" applyProtection="1">
      <alignment horizontal="center" vertical="center"/>
      <protection hidden="1"/>
    </xf>
    <xf numFmtId="0" fontId="25" fillId="29" borderId="69" xfId="45" applyFont="1" applyFill="1" applyBorder="1" applyAlignment="1" applyProtection="1">
      <alignment horizontal="center" vertical="center"/>
      <protection hidden="1"/>
    </xf>
    <xf numFmtId="9" fontId="19" fillId="29" borderId="58" xfId="38" applyNumberFormat="1" applyFont="1" applyFill="1" applyBorder="1" applyAlignment="1">
      <alignment horizontal="justify" vertical="center" wrapText="1"/>
    </xf>
    <xf numFmtId="9" fontId="19" fillId="29" borderId="59" xfId="38" applyNumberFormat="1" applyFont="1" applyFill="1" applyBorder="1" applyAlignment="1">
      <alignment horizontal="justify" vertical="center" wrapText="1"/>
    </xf>
    <xf numFmtId="9" fontId="19" fillId="29" borderId="60" xfId="38" applyNumberFormat="1" applyFont="1" applyFill="1" applyBorder="1" applyAlignment="1">
      <alignment horizontal="justify" vertical="center" wrapText="1"/>
    </xf>
    <xf numFmtId="0" fontId="11" fillId="29" borderId="66" xfId="45" applyFont="1" applyFill="1" applyBorder="1" applyAlignment="1" applyProtection="1">
      <alignment horizontal="justify" vertical="center" wrapText="1"/>
      <protection hidden="1"/>
    </xf>
    <xf numFmtId="0" fontId="11" fillId="29" borderId="100" xfId="45" applyFont="1" applyFill="1" applyBorder="1" applyAlignment="1" applyProtection="1">
      <alignment horizontal="justify" vertical="center" wrapText="1"/>
      <protection hidden="1"/>
    </xf>
    <xf numFmtId="0" fontId="11" fillId="29" borderId="67" xfId="45" applyFont="1" applyFill="1" applyBorder="1" applyAlignment="1" applyProtection="1">
      <alignment horizontal="justify" vertical="center" wrapText="1"/>
      <protection hidden="1"/>
    </xf>
    <xf numFmtId="0" fontId="11" fillId="29" borderId="58" xfId="45" applyFont="1" applyFill="1" applyBorder="1" applyAlignment="1" applyProtection="1">
      <alignment horizontal="center" vertical="center"/>
      <protection hidden="1"/>
    </xf>
    <xf numFmtId="0" fontId="11" fillId="29" borderId="72" xfId="45" applyFont="1" applyFill="1" applyBorder="1" applyAlignment="1" applyProtection="1">
      <alignment horizontal="center" vertical="center"/>
      <protection hidden="1"/>
    </xf>
    <xf numFmtId="0" fontId="11" fillId="29" borderId="102" xfId="45" applyFont="1" applyFill="1" applyBorder="1" applyAlignment="1" applyProtection="1">
      <alignment horizontal="center" vertical="center" wrapText="1"/>
      <protection hidden="1"/>
    </xf>
    <xf numFmtId="0" fontId="11" fillId="29" borderId="72" xfId="45" applyFont="1" applyFill="1" applyBorder="1" applyAlignment="1" applyProtection="1">
      <alignment horizontal="center" vertical="center" wrapText="1"/>
      <protection hidden="1"/>
    </xf>
    <xf numFmtId="0" fontId="11" fillId="29" borderId="22" xfId="45" applyFont="1" applyFill="1" applyBorder="1" applyAlignment="1" applyProtection="1">
      <alignment horizontal="center" vertical="center" wrapText="1"/>
      <protection hidden="1"/>
    </xf>
    <xf numFmtId="0" fontId="11" fillId="29" borderId="67" xfId="45" applyFont="1" applyFill="1" applyBorder="1" applyAlignment="1" applyProtection="1">
      <alignment horizontal="center" vertical="center" wrapText="1"/>
      <protection hidden="1"/>
    </xf>
    <xf numFmtId="0" fontId="22" fillId="0" borderId="76" xfId="45" applyFont="1" applyFill="1" applyBorder="1" applyAlignment="1" applyProtection="1">
      <alignment horizontal="center" vertical="center"/>
      <protection hidden="1"/>
    </xf>
    <xf numFmtId="0" fontId="22" fillId="0" borderId="121" xfId="45" applyFont="1" applyFill="1" applyBorder="1" applyAlignment="1" applyProtection="1">
      <alignment horizontal="center" vertical="center"/>
      <protection hidden="1"/>
    </xf>
    <xf numFmtId="0" fontId="22" fillId="0" borderId="75" xfId="45" applyFont="1" applyFill="1" applyBorder="1" applyAlignment="1" applyProtection="1">
      <alignment horizontal="center" vertical="center"/>
      <protection hidden="1"/>
    </xf>
    <xf numFmtId="0" fontId="11" fillId="0" borderId="54" xfId="45" applyFont="1" applyFill="1" applyBorder="1" applyAlignment="1" applyProtection="1">
      <alignment horizontal="left" vertical="center" wrapText="1"/>
      <protection hidden="1"/>
    </xf>
    <xf numFmtId="9" fontId="19" fillId="0" borderId="62" xfId="38" applyNumberFormat="1" applyFont="1" applyFill="1" applyBorder="1" applyAlignment="1">
      <alignment horizontal="center" vertical="center" wrapText="1"/>
    </xf>
    <xf numFmtId="9" fontId="19" fillId="0" borderId="63" xfId="38" applyNumberFormat="1" applyFont="1" applyFill="1" applyBorder="1" applyAlignment="1">
      <alignment horizontal="center" vertical="center" wrapText="1"/>
    </xf>
    <xf numFmtId="9" fontId="19" fillId="0" borderId="64" xfId="38" applyNumberFormat="1" applyFont="1" applyFill="1" applyBorder="1" applyAlignment="1">
      <alignment horizontal="center" vertical="center" wrapText="1"/>
    </xf>
    <xf numFmtId="9" fontId="19" fillId="0" borderId="58" xfId="38" applyNumberFormat="1" applyFont="1" applyFill="1" applyBorder="1" applyAlignment="1">
      <alignment horizontal="center" vertical="center" wrapText="1"/>
    </xf>
    <xf numFmtId="9" fontId="19" fillId="0" borderId="59" xfId="38" applyNumberFormat="1" applyFont="1" applyFill="1" applyBorder="1" applyAlignment="1">
      <alignment horizontal="center" vertical="center" wrapText="1"/>
    </xf>
    <xf numFmtId="9" fontId="19" fillId="0" borderId="60" xfId="38" applyNumberFormat="1" applyFont="1" applyFill="1" applyBorder="1" applyAlignment="1">
      <alignment horizontal="center" vertical="center" wrapText="1"/>
    </xf>
    <xf numFmtId="0" fontId="11" fillId="0" borderId="127" xfId="45" applyBorder="1" applyAlignment="1" applyProtection="1">
      <alignment horizontal="center" vertical="center" wrapText="1"/>
      <protection hidden="1"/>
    </xf>
    <xf numFmtId="0" fontId="11" fillId="0" borderId="128" xfId="45" applyBorder="1" applyAlignment="1" applyProtection="1">
      <alignment horizontal="center" vertical="center" wrapText="1"/>
      <protection hidden="1"/>
    </xf>
    <xf numFmtId="0" fontId="11" fillId="0" borderId="53" xfId="45" applyBorder="1" applyAlignment="1" applyProtection="1">
      <alignment horizontal="center" vertical="center" wrapText="1"/>
      <protection hidden="1"/>
    </xf>
    <xf numFmtId="0" fontId="22" fillId="0" borderId="18" xfId="45" applyFont="1" applyBorder="1" applyAlignment="1" applyProtection="1">
      <alignment horizontal="center"/>
      <protection hidden="1"/>
    </xf>
    <xf numFmtId="0" fontId="22" fillId="0" borderId="73" xfId="45" applyFont="1" applyBorder="1" applyAlignment="1" applyProtection="1">
      <alignment horizontal="center"/>
      <protection hidden="1"/>
    </xf>
    <xf numFmtId="0" fontId="22" fillId="0" borderId="74" xfId="45" applyFont="1" applyBorder="1" applyAlignment="1" applyProtection="1">
      <alignment horizontal="center"/>
      <protection hidden="1"/>
    </xf>
    <xf numFmtId="0" fontId="25" fillId="0" borderId="54" xfId="45" applyFont="1" applyBorder="1" applyAlignment="1" applyProtection="1">
      <alignment horizontal="center" vertical="center"/>
      <protection hidden="1"/>
    </xf>
    <xf numFmtId="0" fontId="11" fillId="30" borderId="22" xfId="45" applyFont="1" applyFill="1" applyBorder="1" applyAlignment="1" applyProtection="1">
      <alignment horizontal="center" vertical="center" wrapText="1"/>
      <protection hidden="1"/>
    </xf>
    <xf numFmtId="0" fontId="11" fillId="30" borderId="67" xfId="45" applyFont="1" applyFill="1" applyBorder="1" applyAlignment="1" applyProtection="1">
      <alignment horizontal="center" vertical="center" wrapText="1"/>
      <protection hidden="1"/>
    </xf>
    <xf numFmtId="0" fontId="11" fillId="30" borderId="66" xfId="45" applyFont="1" applyFill="1" applyBorder="1" applyAlignment="1" applyProtection="1">
      <alignment horizontal="center" vertical="center"/>
      <protection hidden="1"/>
    </xf>
    <xf numFmtId="0" fontId="11" fillId="30" borderId="67" xfId="45" applyFont="1" applyFill="1" applyBorder="1" applyAlignment="1" applyProtection="1">
      <alignment horizontal="center" vertical="center"/>
      <protection hidden="1"/>
    </xf>
    <xf numFmtId="0" fontId="11" fillId="30" borderId="66" xfId="45" applyFont="1" applyFill="1" applyBorder="1" applyAlignment="1" applyProtection="1">
      <alignment horizontal="justify" vertical="center" wrapText="1"/>
      <protection hidden="1"/>
    </xf>
    <xf numFmtId="0" fontId="11" fillId="30" borderId="100" xfId="45" applyFont="1" applyFill="1" applyBorder="1" applyAlignment="1" applyProtection="1">
      <alignment horizontal="justify" vertical="center" wrapText="1"/>
      <protection hidden="1"/>
    </xf>
    <xf numFmtId="0" fontId="11" fillId="30" borderId="67" xfId="45" applyFont="1" applyFill="1" applyBorder="1" applyAlignment="1" applyProtection="1">
      <alignment horizontal="justify" vertical="center" wrapText="1"/>
      <protection hidden="1"/>
    </xf>
    <xf numFmtId="9" fontId="19" fillId="30" borderId="66" xfId="38" applyNumberFormat="1" applyFont="1" applyFill="1" applyBorder="1" applyAlignment="1">
      <alignment horizontal="justify" vertical="center" wrapText="1"/>
    </xf>
    <xf numFmtId="9" fontId="19" fillId="30" borderId="100" xfId="38" applyNumberFormat="1" applyFont="1" applyFill="1" applyBorder="1" applyAlignment="1">
      <alignment horizontal="justify" vertical="center" wrapText="1"/>
    </xf>
    <xf numFmtId="9" fontId="19" fillId="30" borderId="119" xfId="38" applyNumberFormat="1" applyFont="1" applyFill="1" applyBorder="1" applyAlignment="1">
      <alignment horizontal="justify" vertical="center" wrapText="1"/>
    </xf>
    <xf numFmtId="0" fontId="11" fillId="0" borderId="89" xfId="45" applyFont="1" applyFill="1" applyBorder="1" applyAlignment="1" applyProtection="1">
      <alignment horizontal="justify" vertical="center" wrapText="1"/>
      <protection hidden="1"/>
    </xf>
    <xf numFmtId="0" fontId="11" fillId="0" borderId="90" xfId="45" applyFont="1" applyFill="1" applyBorder="1" applyAlignment="1" applyProtection="1">
      <alignment horizontal="justify" vertical="center" wrapText="1"/>
      <protection hidden="1"/>
    </xf>
    <xf numFmtId="0" fontId="11" fillId="0" borderId="118" xfId="45" applyFont="1" applyFill="1" applyBorder="1" applyAlignment="1" applyProtection="1">
      <alignment horizontal="justify" vertical="center" wrapText="1"/>
      <protection hidden="1"/>
    </xf>
    <xf numFmtId="0" fontId="21" fillId="27" borderId="81" xfId="45" applyFont="1" applyFill="1" applyBorder="1" applyAlignment="1" applyProtection="1">
      <alignment horizontal="center" vertical="center" wrapText="1"/>
      <protection hidden="1"/>
    </xf>
    <xf numFmtId="0" fontId="21" fillId="27" borderId="55" xfId="45" applyFont="1" applyFill="1" applyBorder="1" applyAlignment="1" applyProtection="1">
      <alignment horizontal="center" vertical="center" wrapText="1"/>
      <protection hidden="1"/>
    </xf>
    <xf numFmtId="0" fontId="21" fillId="27" borderId="56" xfId="45" applyFont="1" applyFill="1" applyBorder="1" applyAlignment="1" applyProtection="1">
      <alignment horizontal="center" vertical="center" wrapText="1"/>
      <protection hidden="1"/>
    </xf>
    <xf numFmtId="0" fontId="11" fillId="29" borderId="76" xfId="45" applyFont="1" applyFill="1" applyBorder="1" applyAlignment="1" applyProtection="1">
      <alignment horizontal="center" vertical="center"/>
      <protection hidden="1"/>
    </xf>
    <xf numFmtId="0" fontId="11" fillId="29" borderId="75" xfId="45" applyFont="1" applyFill="1" applyBorder="1" applyAlignment="1" applyProtection="1">
      <alignment horizontal="center" vertical="center"/>
      <protection hidden="1"/>
    </xf>
    <xf numFmtId="4" fontId="11" fillId="0" borderId="125" xfId="45" applyNumberFormat="1" applyFill="1" applyBorder="1" applyAlignment="1" applyProtection="1">
      <alignment horizontal="center"/>
      <protection hidden="1"/>
    </xf>
    <xf numFmtId="4" fontId="11" fillId="0" borderId="75" xfId="45" applyNumberFormat="1" applyFill="1" applyBorder="1" applyAlignment="1" applyProtection="1">
      <alignment horizontal="center"/>
      <protection hidden="1"/>
    </xf>
    <xf numFmtId="4" fontId="11" fillId="0" borderId="22" xfId="45" applyNumberFormat="1" applyFill="1" applyBorder="1" applyAlignment="1" applyProtection="1">
      <alignment horizontal="center"/>
      <protection hidden="1"/>
    </xf>
    <xf numFmtId="4" fontId="11" fillId="0" borderId="67" xfId="45" applyNumberFormat="1" applyFill="1" applyBorder="1" applyAlignment="1" applyProtection="1">
      <alignment horizontal="center"/>
      <protection hidden="1"/>
    </xf>
    <xf numFmtId="4" fontId="11" fillId="0" borderId="102" xfId="45" applyNumberFormat="1" applyFill="1" applyBorder="1" applyAlignment="1" applyProtection="1">
      <alignment horizontal="center"/>
      <protection hidden="1"/>
    </xf>
    <xf numFmtId="4" fontId="11" fillId="0" borderId="72" xfId="45" applyNumberFormat="1" applyFill="1" applyBorder="1" applyAlignment="1" applyProtection="1">
      <alignment horizontal="center"/>
      <protection hidden="1"/>
    </xf>
    <xf numFmtId="0" fontId="22" fillId="29" borderId="76" xfId="45" applyFont="1" applyFill="1" applyBorder="1" applyAlignment="1" applyProtection="1">
      <alignment horizontal="center" vertical="center"/>
      <protection hidden="1"/>
    </xf>
    <xf numFmtId="0" fontId="22" fillId="29" borderId="121" xfId="45" applyFont="1" applyFill="1" applyBorder="1" applyAlignment="1" applyProtection="1">
      <alignment horizontal="center" vertical="center"/>
      <protection hidden="1"/>
    </xf>
    <xf numFmtId="0" fontId="22" fillId="29" borderId="75" xfId="45" applyFont="1" applyFill="1" applyBorder="1" applyAlignment="1" applyProtection="1">
      <alignment horizontal="center" vertical="center"/>
      <protection hidden="1"/>
    </xf>
    <xf numFmtId="0" fontId="11" fillId="0" borderId="130" xfId="0" applyFont="1" applyBorder="1" applyAlignment="1">
      <alignment horizontal="center" vertical="center" wrapText="1"/>
    </xf>
    <xf numFmtId="0" fontId="0" fillId="0" borderId="131" xfId="0" applyBorder="1" applyAlignment="1">
      <alignment horizontal="center" vertical="center" wrapText="1"/>
    </xf>
    <xf numFmtId="0" fontId="0" fillId="0" borderId="79" xfId="0" applyBorder="1" applyAlignment="1">
      <alignment horizontal="center" vertical="center" wrapText="1"/>
    </xf>
    <xf numFmtId="0" fontId="22" fillId="0" borderId="68" xfId="45" applyFont="1" applyBorder="1" applyAlignment="1" applyProtection="1">
      <alignment horizontal="center" vertical="center"/>
      <protection hidden="1"/>
    </xf>
    <xf numFmtId="0" fontId="22" fillId="0" borderId="84" xfId="45" applyFont="1" applyBorder="1" applyAlignment="1" applyProtection="1">
      <alignment horizontal="center" vertical="center"/>
      <protection hidden="1"/>
    </xf>
    <xf numFmtId="0" fontId="22" fillId="0" borderId="69" xfId="45" applyFont="1" applyBorder="1" applyAlignment="1" applyProtection="1">
      <alignment horizontal="center" vertical="center"/>
      <protection hidden="1"/>
    </xf>
    <xf numFmtId="4" fontId="11" fillId="0" borderId="87" xfId="45" applyNumberFormat="1" applyFill="1" applyBorder="1" applyAlignment="1" applyProtection="1">
      <alignment horizontal="center"/>
      <protection hidden="1"/>
    </xf>
    <xf numFmtId="4" fontId="11" fillId="0" borderId="0" xfId="45" applyNumberFormat="1" applyFill="1" applyBorder="1" applyAlignment="1" applyProtection="1">
      <alignment horizontal="center"/>
      <protection hidden="1"/>
    </xf>
    <xf numFmtId="4" fontId="11" fillId="0" borderId="88" xfId="45" applyNumberFormat="1" applyFill="1" applyBorder="1" applyAlignment="1" applyProtection="1">
      <alignment horizontal="center"/>
      <protection hidden="1"/>
    </xf>
    <xf numFmtId="4" fontId="11" fillId="0" borderId="89" xfId="45" applyNumberFormat="1" applyFill="1" applyBorder="1" applyAlignment="1" applyProtection="1">
      <alignment horizontal="center"/>
      <protection hidden="1"/>
    </xf>
    <xf numFmtId="4" fontId="11" fillId="0" borderId="90" xfId="45" applyNumberFormat="1" applyFill="1" applyBorder="1" applyAlignment="1" applyProtection="1">
      <alignment horizontal="center"/>
      <protection hidden="1"/>
    </xf>
    <xf numFmtId="4" fontId="11" fillId="0" borderId="91" xfId="45" applyNumberFormat="1" applyFill="1" applyBorder="1" applyAlignment="1" applyProtection="1">
      <alignment horizontal="center"/>
      <protection hidden="1"/>
    </xf>
    <xf numFmtId="0" fontId="11" fillId="30" borderId="22" xfId="45" applyFont="1" applyFill="1" applyBorder="1" applyAlignment="1" applyProtection="1">
      <alignment horizontal="left" vertical="center"/>
      <protection hidden="1"/>
    </xf>
    <xf numFmtId="0" fontId="11" fillId="30" borderId="67" xfId="45" applyFont="1" applyFill="1" applyBorder="1" applyAlignment="1" applyProtection="1">
      <alignment horizontal="left" vertical="center"/>
      <protection hidden="1"/>
    </xf>
    <xf numFmtId="9" fontId="11" fillId="30" borderId="66" xfId="38" applyNumberFormat="1" applyFont="1" applyFill="1" applyBorder="1" applyAlignment="1">
      <alignment horizontal="justify" vertical="center" wrapText="1"/>
    </xf>
    <xf numFmtId="9" fontId="11" fillId="30" borderId="100" xfId="38" applyNumberFormat="1" applyFont="1" applyFill="1" applyBorder="1" applyAlignment="1">
      <alignment horizontal="justify" vertical="center" wrapText="1"/>
    </xf>
    <xf numFmtId="9" fontId="11" fillId="30" borderId="119" xfId="38" applyNumberFormat="1" applyFont="1" applyFill="1" applyBorder="1" applyAlignment="1">
      <alignment horizontal="justify" vertical="center" wrapText="1"/>
    </xf>
    <xf numFmtId="0" fontId="11" fillId="0" borderId="66" xfId="45" applyFont="1" applyFill="1" applyBorder="1" applyAlignment="1" applyProtection="1">
      <alignment horizontal="justify" vertical="center"/>
      <protection hidden="1"/>
    </xf>
    <xf numFmtId="0" fontId="11" fillId="0" borderId="100" xfId="45" applyFont="1" applyFill="1" applyBorder="1" applyAlignment="1" applyProtection="1">
      <alignment horizontal="justify" vertical="center"/>
      <protection hidden="1"/>
    </xf>
    <xf numFmtId="0" fontId="11" fillId="0" borderId="67" xfId="45" applyFont="1" applyFill="1" applyBorder="1" applyAlignment="1" applyProtection="1">
      <alignment horizontal="justify" vertical="center"/>
      <protection hidden="1"/>
    </xf>
    <xf numFmtId="0" fontId="11" fillId="26" borderId="66" xfId="45" applyFont="1" applyFill="1" applyBorder="1" applyAlignment="1" applyProtection="1">
      <alignment horizontal="justify" vertical="center"/>
      <protection hidden="1"/>
    </xf>
    <xf numFmtId="0" fontId="11" fillId="26" borderId="100" xfId="45" applyFont="1" applyFill="1" applyBorder="1" applyAlignment="1" applyProtection="1">
      <alignment horizontal="justify" vertical="center"/>
      <protection hidden="1"/>
    </xf>
    <xf numFmtId="0" fontId="11" fillId="26" borderId="67" xfId="45" applyFont="1" applyFill="1" applyBorder="1" applyAlignment="1" applyProtection="1">
      <alignment horizontal="justify" vertical="center"/>
      <protection hidden="1"/>
    </xf>
    <xf numFmtId="9" fontId="19" fillId="30" borderId="58" xfId="38" applyNumberFormat="1" applyFont="1" applyFill="1" applyBorder="1" applyAlignment="1">
      <alignment horizontal="left" vertical="center" wrapText="1"/>
    </xf>
    <xf numFmtId="9" fontId="19" fillId="30" borderId="59" xfId="38" applyNumberFormat="1" applyFont="1" applyFill="1" applyBorder="1" applyAlignment="1">
      <alignment horizontal="left" vertical="center" wrapText="1"/>
    </xf>
    <xf numFmtId="9" fontId="19" fillId="30" borderId="60" xfId="38" applyNumberFormat="1" applyFont="1" applyFill="1" applyBorder="1" applyAlignment="1">
      <alignment horizontal="left" vertical="center" wrapText="1"/>
    </xf>
    <xf numFmtId="0" fontId="11" fillId="30" borderId="58" xfId="45" applyFont="1" applyFill="1" applyBorder="1" applyAlignment="1" applyProtection="1">
      <alignment horizontal="justify" vertical="center" wrapText="1"/>
      <protection hidden="1"/>
    </xf>
    <xf numFmtId="0" fontId="11" fillId="30" borderId="59" xfId="45" applyFont="1" applyFill="1" applyBorder="1" applyAlignment="1" applyProtection="1">
      <alignment horizontal="justify" vertical="center" wrapText="1"/>
      <protection hidden="1"/>
    </xf>
    <xf numFmtId="0" fontId="11" fillId="30" borderId="72" xfId="45" applyFont="1" applyFill="1" applyBorder="1" applyAlignment="1" applyProtection="1">
      <alignment horizontal="justify" vertical="center" wrapText="1"/>
      <protection hidden="1"/>
    </xf>
    <xf numFmtId="0" fontId="11" fillId="30" borderId="102" xfId="45" applyFont="1" applyFill="1" applyBorder="1" applyAlignment="1" applyProtection="1">
      <alignment horizontal="center" vertical="center" wrapText="1"/>
      <protection hidden="1"/>
    </xf>
    <xf numFmtId="0" fontId="11" fillId="30" borderId="72" xfId="45" applyFont="1" applyFill="1" applyBorder="1" applyAlignment="1" applyProtection="1">
      <alignment horizontal="center" vertical="center" wrapText="1"/>
      <protection hidden="1"/>
    </xf>
    <xf numFmtId="0" fontId="11" fillId="30" borderId="58" xfId="45" applyFont="1" applyFill="1" applyBorder="1" applyAlignment="1" applyProtection="1">
      <alignment horizontal="center" vertical="center"/>
      <protection hidden="1"/>
    </xf>
    <xf numFmtId="0" fontId="11" fillId="30" borderId="72" xfId="45" applyFont="1" applyFill="1" applyBorder="1" applyAlignment="1" applyProtection="1">
      <alignment horizontal="center" vertical="center"/>
      <protection hidden="1"/>
    </xf>
    <xf numFmtId="0" fontId="11" fillId="30" borderId="102" xfId="45" applyFont="1" applyFill="1" applyBorder="1" applyAlignment="1" applyProtection="1">
      <alignment horizontal="left" vertical="center"/>
      <protection hidden="1"/>
    </xf>
    <xf numFmtId="0" fontId="11" fillId="30" borderId="72" xfId="45" applyFont="1" applyFill="1" applyBorder="1" applyAlignment="1" applyProtection="1">
      <alignment horizontal="left" vertical="center"/>
      <protection hidden="1"/>
    </xf>
    <xf numFmtId="0" fontId="11" fillId="0" borderId="56" xfId="45" applyFont="1" applyFill="1" applyBorder="1" applyAlignment="1" applyProtection="1">
      <alignment horizontal="justify" vertical="center"/>
      <protection hidden="1"/>
    </xf>
    <xf numFmtId="0" fontId="11" fillId="0" borderId="38" xfId="45" applyFont="1" applyFill="1" applyBorder="1" applyAlignment="1" applyProtection="1">
      <alignment horizontal="justify" vertical="center"/>
      <protection hidden="1"/>
    </xf>
    <xf numFmtId="0" fontId="11" fillId="0" borderId="55" xfId="45" applyFont="1" applyFill="1" applyBorder="1" applyAlignment="1" applyProtection="1">
      <alignment horizontal="justify" vertical="center"/>
      <protection hidden="1"/>
    </xf>
    <xf numFmtId="0" fontId="11" fillId="0" borderId="9" xfId="45" applyFont="1" applyFill="1" applyBorder="1" applyAlignment="1" applyProtection="1">
      <alignment horizontal="justify" vertical="center"/>
      <protection hidden="1"/>
    </xf>
    <xf numFmtId="9" fontId="11" fillId="30" borderId="58" xfId="38" applyNumberFormat="1" applyFont="1" applyFill="1" applyBorder="1" applyAlignment="1">
      <alignment horizontal="justify" vertical="center" wrapText="1"/>
    </xf>
    <xf numFmtId="9" fontId="11" fillId="30" borderId="59" xfId="38" applyNumberFormat="1" applyFont="1" applyFill="1" applyBorder="1" applyAlignment="1">
      <alignment horizontal="justify" vertical="center" wrapText="1"/>
    </xf>
    <xf numFmtId="9" fontId="11" fillId="30" borderId="60" xfId="38" applyNumberFormat="1" applyFont="1" applyFill="1" applyBorder="1" applyAlignment="1">
      <alignment horizontal="justify" vertical="center" wrapText="1"/>
    </xf>
    <xf numFmtId="0" fontId="11" fillId="0" borderId="53" xfId="45" applyFont="1" applyFill="1" applyBorder="1" applyAlignment="1" applyProtection="1">
      <alignment horizontal="justify" vertical="center"/>
      <protection hidden="1"/>
    </xf>
    <xf numFmtId="0" fontId="11" fillId="0" borderId="54" xfId="45" applyFont="1" applyFill="1" applyBorder="1" applyAlignment="1" applyProtection="1">
      <alignment horizontal="justify" vertical="center"/>
      <protection hidden="1"/>
    </xf>
    <xf numFmtId="0" fontId="22" fillId="0" borderId="77" xfId="45" applyFont="1" applyFill="1" applyBorder="1" applyAlignment="1" applyProtection="1">
      <alignment horizontal="center" vertical="center"/>
      <protection hidden="1"/>
    </xf>
    <xf numFmtId="0" fontId="22" fillId="0" borderId="73" xfId="45" applyFont="1" applyFill="1" applyBorder="1" applyAlignment="1" applyProtection="1">
      <alignment horizontal="center" vertical="center"/>
      <protection hidden="1"/>
    </xf>
    <xf numFmtId="0" fontId="22" fillId="0" borderId="120" xfId="45" applyFont="1" applyFill="1" applyBorder="1" applyAlignment="1" applyProtection="1">
      <alignment horizontal="center" vertical="center"/>
      <protection hidden="1"/>
    </xf>
    <xf numFmtId="0" fontId="11" fillId="29" borderId="58" xfId="45" applyFont="1" applyFill="1" applyBorder="1" applyAlignment="1" applyProtection="1">
      <alignment horizontal="justify" vertical="center" wrapText="1"/>
      <protection hidden="1"/>
    </xf>
    <xf numFmtId="0" fontId="11" fillId="29" borderId="59" xfId="45" applyFont="1" applyFill="1" applyBorder="1" applyAlignment="1" applyProtection="1">
      <alignment horizontal="justify" vertical="center" wrapText="1"/>
      <protection hidden="1"/>
    </xf>
    <xf numFmtId="0" fontId="11" fillId="29" borderId="72" xfId="45" applyFont="1" applyFill="1" applyBorder="1" applyAlignment="1" applyProtection="1">
      <alignment horizontal="justify" vertical="center" wrapText="1"/>
      <protection hidden="1"/>
    </xf>
    <xf numFmtId="0" fontId="21" fillId="0" borderId="93" xfId="38" applyFont="1" applyFill="1" applyBorder="1" applyAlignment="1" applyProtection="1">
      <alignment horizontal="center" vertical="center" wrapText="1"/>
      <protection hidden="1"/>
    </xf>
    <xf numFmtId="0" fontId="21" fillId="0" borderId="78" xfId="38" applyFont="1" applyFill="1" applyBorder="1" applyAlignment="1" applyProtection="1">
      <alignment horizontal="center" vertical="center" wrapText="1"/>
      <protection hidden="1"/>
    </xf>
    <xf numFmtId="0" fontId="21" fillId="0" borderId="19" xfId="38" applyFont="1" applyFill="1" applyBorder="1" applyAlignment="1" applyProtection="1">
      <alignment horizontal="center" vertical="center" wrapText="1"/>
      <protection hidden="1"/>
    </xf>
    <xf numFmtId="0" fontId="21" fillId="0" borderId="9" xfId="38" applyFont="1" applyFill="1" applyBorder="1" applyAlignment="1" applyProtection="1">
      <alignment horizontal="center" vertical="center" wrapText="1"/>
      <protection hidden="1"/>
    </xf>
    <xf numFmtId="1" fontId="24" fillId="0" borderId="0" xfId="38" applyNumberFormat="1" applyFont="1" applyAlignment="1" applyProtection="1">
      <alignment horizontal="center" vertical="center" wrapText="1"/>
      <protection hidden="1"/>
    </xf>
    <xf numFmtId="4" fontId="21" fillId="0" borderId="19" xfId="38" applyNumberFormat="1" applyFont="1" applyFill="1" applyBorder="1" applyAlignment="1" applyProtection="1">
      <alignment horizontal="center" vertical="center" wrapText="1"/>
      <protection hidden="1"/>
    </xf>
    <xf numFmtId="0" fontId="0" fillId="0" borderId="9" xfId="0" applyFill="1" applyBorder="1" applyAlignment="1">
      <alignment horizontal="center" vertical="center" wrapText="1"/>
    </xf>
    <xf numFmtId="0" fontId="21" fillId="0" borderId="81" xfId="38" applyFont="1" applyFill="1" applyBorder="1" applyAlignment="1" applyProtection="1">
      <alignment horizontal="center" vertical="center" wrapText="1"/>
      <protection hidden="1"/>
    </xf>
    <xf numFmtId="0" fontId="21" fillId="0" borderId="55" xfId="38" applyFont="1" applyFill="1" applyBorder="1" applyAlignment="1" applyProtection="1">
      <alignment horizontal="center" vertical="center" wrapText="1"/>
      <protection hidden="1"/>
    </xf>
    <xf numFmtId="0" fontId="21" fillId="0" borderId="19" xfId="38" applyFont="1" applyFill="1" applyBorder="1" applyAlignment="1" applyProtection="1">
      <alignment horizontal="center" vertical="center"/>
      <protection hidden="1"/>
    </xf>
    <xf numFmtId="0" fontId="21" fillId="0" borderId="9" xfId="38" applyFont="1" applyFill="1" applyBorder="1" applyAlignment="1" applyProtection="1">
      <alignment horizontal="center" vertical="center"/>
      <protection hidden="1"/>
    </xf>
    <xf numFmtId="0" fontId="0" fillId="0" borderId="0" xfId="0" applyFill="1" applyBorder="1" applyAlignment="1">
      <alignment horizontal="left" vertical="center" wrapText="1"/>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xfId="32" builtinId="3"/>
    <cellStyle name="Millares 2" xfId="33"/>
    <cellStyle name="Moneda 2" xfId="34"/>
    <cellStyle name="Moneda 3" xfId="35"/>
    <cellStyle name="Neutral" xfId="36" builtinId="28" customBuiltin="1"/>
    <cellStyle name="Normal" xfId="0" builtinId="0"/>
    <cellStyle name="Normal 2" xfId="37"/>
    <cellStyle name="Normal 2 2" xfId="38"/>
    <cellStyle name="Normal 2_calificacion2" xfId="39"/>
    <cellStyle name="Normal 3" xfId="40"/>
    <cellStyle name="Normal 3_calificacion2" xfId="41"/>
    <cellStyle name="Normal 4" xfId="42"/>
    <cellStyle name="Normal 5" xfId="43"/>
    <cellStyle name="Normal_DA_PROCESO_09-10-63691_124002002_1347502" xfId="44"/>
    <cellStyle name="Normal_Kresidual" xfId="45"/>
    <cellStyle name="Normal_Relación Experiencia" xfId="46"/>
    <cellStyle name="Notas" xfId="47" builtinId="10" customBuiltin="1"/>
    <cellStyle name="Porcentaje" xfId="48" builtinId="5"/>
    <cellStyle name="Porcentaje 2" xfId="49"/>
    <cellStyle name="Porcentual 2" xfId="50"/>
    <cellStyle name="Porcentual 3" xfId="51"/>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otal" xfId="58" builtinId="25" customBuiltin="1"/>
  </cellStyles>
  <dxfs count="35">
    <dxf>
      <font>
        <b/>
        <i val="0"/>
        <condense val="0"/>
        <extend val="0"/>
        <color auto="1"/>
      </font>
      <fill>
        <patternFill>
          <bgColor indexed="50"/>
        </patternFill>
      </fill>
    </dxf>
    <dxf>
      <font>
        <b/>
        <i val="0"/>
        <condense val="0"/>
        <extend val="0"/>
        <color auto="1"/>
      </font>
      <fill>
        <patternFill>
          <bgColor indexed="50"/>
        </patternFill>
      </fill>
    </dxf>
    <dxf>
      <font>
        <b/>
        <i val="0"/>
        <color indexed="10"/>
      </font>
      <fill>
        <patternFill>
          <bgColor indexed="45"/>
        </patternFill>
      </fill>
    </dxf>
    <dxf>
      <font>
        <b val="0"/>
        <i val="0"/>
        <condense val="0"/>
        <extend val="0"/>
        <color indexed="18"/>
      </font>
      <fill>
        <patternFill>
          <bgColor indexed="41"/>
        </patternFill>
      </fill>
    </dxf>
    <dxf>
      <font>
        <b val="0"/>
        <i val="0"/>
        <condense val="0"/>
        <extend val="0"/>
        <color indexed="10"/>
      </font>
      <fill>
        <patternFill>
          <bgColor indexed="41"/>
        </patternFill>
      </fill>
    </dxf>
    <dxf>
      <font>
        <b/>
        <i val="0"/>
        <condense val="0"/>
        <extend val="0"/>
        <color auto="1"/>
      </font>
      <fill>
        <patternFill>
          <bgColor indexed="50"/>
        </patternFill>
      </fill>
    </dxf>
    <dxf>
      <font>
        <b/>
        <i val="0"/>
        <condense val="0"/>
        <extend val="0"/>
        <color indexed="18"/>
      </font>
      <fill>
        <patternFill>
          <bgColor indexed="44"/>
        </patternFill>
      </fill>
    </dxf>
    <dxf>
      <font>
        <b/>
        <i val="0"/>
        <condense val="0"/>
        <extend val="0"/>
        <color indexed="10"/>
      </font>
      <fill>
        <patternFill>
          <bgColor indexed="4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857250</xdr:colOff>
      <xdr:row>63</xdr:row>
      <xdr:rowOff>0</xdr:rowOff>
    </xdr:from>
    <xdr:to>
      <xdr:col>3</xdr:col>
      <xdr:colOff>2943225</xdr:colOff>
      <xdr:row>73</xdr:row>
      <xdr:rowOff>0</xdr:rowOff>
    </xdr:to>
    <xdr:grpSp>
      <xdr:nvGrpSpPr>
        <xdr:cNvPr id="75883" name="3 Grupo"/>
        <xdr:cNvGrpSpPr>
          <a:grpSpLocks/>
        </xdr:cNvGrpSpPr>
      </xdr:nvGrpSpPr>
      <xdr:grpSpPr bwMode="auto">
        <a:xfrm>
          <a:off x="857250" y="11877675"/>
          <a:ext cx="8572500" cy="1809750"/>
          <a:chOff x="752475" y="11410950"/>
          <a:chExt cx="7496175" cy="1809750"/>
        </a:xfrm>
      </xdr:grpSpPr>
      <xdr:pic>
        <xdr:nvPicPr>
          <xdr:cNvPr id="75885"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752475" y="11410950"/>
            <a:ext cx="6667500" cy="1809750"/>
          </a:xfrm>
          <a:prstGeom prst="rect">
            <a:avLst/>
          </a:prstGeom>
          <a:noFill/>
          <a:ln w="9525">
            <a:noFill/>
            <a:miter lim="800000"/>
            <a:headEnd/>
            <a:tailEnd/>
          </a:ln>
        </xdr:spPr>
      </xdr:pic>
      <xdr:sp macro="" textlink="">
        <xdr:nvSpPr>
          <xdr:cNvPr id="3" name="2 Flecha izquierda"/>
          <xdr:cNvSpPr/>
        </xdr:nvSpPr>
        <xdr:spPr>
          <a:xfrm>
            <a:off x="7440729" y="12525375"/>
            <a:ext cx="807921"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MX"/>
          </a:p>
        </xdr:txBody>
      </xdr:sp>
    </xdr:grpSp>
    <xdr:clientData/>
  </xdr:twoCellAnchor>
  <xdr:twoCellAnchor editAs="oneCell">
    <xdr:from>
      <xdr:col>1</xdr:col>
      <xdr:colOff>2524125</xdr:colOff>
      <xdr:row>51</xdr:row>
      <xdr:rowOff>114300</xdr:rowOff>
    </xdr:from>
    <xdr:to>
      <xdr:col>2</xdr:col>
      <xdr:colOff>1704975</xdr:colOff>
      <xdr:row>53</xdr:row>
      <xdr:rowOff>114300</xdr:rowOff>
    </xdr:to>
    <xdr:pic>
      <xdr:nvPicPr>
        <xdr:cNvPr id="75884" name="CommandButton1"/>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3648075" y="9820275"/>
          <a:ext cx="1781175" cy="361950"/>
        </a:xfrm>
        <a:prstGeom prst="rect">
          <a:avLst/>
        </a:prstGeom>
        <a:noFill/>
        <a:ln w="9525">
          <a:noFill/>
          <a:miter lim="800000"/>
          <a:headEnd/>
          <a:tailEnd/>
        </a:ln>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CCU\DA_PROCESO_09-10-63691_124002002_13475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Usuario\Escritorio\CER\AMERICAS\PRECALIFICACION\Documents%20and%20Settings\USUARIO\Escritorio\DIANA%20inco\1111aaaaaformulas\ELEGIBILIDAD%20000-000-000%20-%202007-NFORMU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TGARCIA/AppData/Local/Microsoft/Windows/Temporary%20Internet%20Files/Content.Outlook/6FU7W6DP/VJ-VGC-CM-017-2013%20CUCUTA%20Proponente%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I/Downloads/VJ-VGC-CM-017-2013%20propuesta%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CORTA"/>
      <sheetName val="PRESUPUESTOS"/>
      <sheetName val="PROPONENTES"/>
      <sheetName val="EXPER.GRAL-PRECAL"/>
      <sheetName val="RESUMEN EXP. GENERAL"/>
      <sheetName val="EXP.ESPECIFICA"/>
      <sheetName val="RES. ESPECIFICA"/>
      <sheetName val="EXP. PROF. PROP-1"/>
      <sheetName val="EXP. PROF. PROP-4"/>
      <sheetName val="EXP. PROF. PROP-5"/>
      <sheetName val="EVAL. PROFESIONALES"/>
      <sheetName val="METODOLOGIA"/>
      <sheetName val="APOYO A IND. NAL."/>
      <sheetName val="RESUMEN"/>
      <sheetName val="ELEGIBILIDAD"/>
      <sheetName val="datos"/>
      <sheetName val="Resumen de profesionales"/>
      <sheetName val="SMLM"/>
    </sheetNames>
    <sheetDataSet>
      <sheetData sheetId="0">
        <row r="11">
          <cell r="B11">
            <v>40107</v>
          </cell>
        </row>
        <row r="14">
          <cell r="B14" t="str">
            <v>DIRECTOR</v>
          </cell>
          <cell r="C14">
            <v>60</v>
          </cell>
          <cell r="D14">
            <v>36</v>
          </cell>
        </row>
        <row r="15">
          <cell r="B15" t="str">
            <v>RESIDENTE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R-PROP"/>
      <sheetName val="FORMULA 1"/>
      <sheetName val="PRECIO"/>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alificación Técnica"/>
      <sheetName val="P1"/>
      <sheetName val="P1 PUNTAJE"/>
      <sheetName val="P2"/>
      <sheetName val="P2 puntaje"/>
      <sheetName val="P3"/>
      <sheetName val="P3 PUNTAJE "/>
      <sheetName val="P4"/>
      <sheetName val="P4 PUNTAJE"/>
      <sheetName val="P5"/>
      <sheetName val="P5 PUNTAJE"/>
      <sheetName val="P6"/>
      <sheetName val="P6 PUNTAJE"/>
      <sheetName val="P7"/>
      <sheetName val="P7 PUNTAJE"/>
      <sheetName val="P8"/>
      <sheetName val="P8 PUNTAJE "/>
      <sheetName val="RESUMEN"/>
      <sheetName val="PROPONENTES"/>
      <sheetName val="Hoja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E1" t="str">
            <v>No. Integrante</v>
          </cell>
          <cell r="H1" t="str">
            <v>Participación</v>
          </cell>
        </row>
        <row r="2">
          <cell r="E2" t="str">
            <v>1A</v>
          </cell>
          <cell r="H2">
            <v>0.6</v>
          </cell>
        </row>
        <row r="3">
          <cell r="E3" t="str">
            <v>1B</v>
          </cell>
          <cell r="H3">
            <v>0.3</v>
          </cell>
        </row>
        <row r="4">
          <cell r="E4" t="str">
            <v>1C</v>
          </cell>
          <cell r="H4">
            <v>0.1</v>
          </cell>
        </row>
        <row r="5">
          <cell r="E5" t="str">
            <v>2A</v>
          </cell>
          <cell r="H5">
            <v>0.6</v>
          </cell>
        </row>
        <row r="6">
          <cell r="E6" t="str">
            <v>2B</v>
          </cell>
          <cell r="H6">
            <v>0.3</v>
          </cell>
        </row>
        <row r="7">
          <cell r="E7" t="str">
            <v>2C</v>
          </cell>
          <cell r="H7">
            <v>0.1</v>
          </cell>
        </row>
        <row r="8">
          <cell r="E8" t="str">
            <v>3A</v>
          </cell>
          <cell r="H8">
            <v>0.6</v>
          </cell>
        </row>
        <row r="9">
          <cell r="E9" t="str">
            <v>3B</v>
          </cell>
          <cell r="H9">
            <v>0.3</v>
          </cell>
        </row>
        <row r="10">
          <cell r="E10" t="str">
            <v>3C</v>
          </cell>
          <cell r="H10">
            <v>0.1</v>
          </cell>
        </row>
        <row r="11">
          <cell r="E11" t="str">
            <v>4A</v>
          </cell>
          <cell r="H11">
            <v>0.6</v>
          </cell>
        </row>
        <row r="12">
          <cell r="E12" t="str">
            <v>4B</v>
          </cell>
          <cell r="H12">
            <v>0.15</v>
          </cell>
        </row>
        <row r="13">
          <cell r="E13" t="str">
            <v>4C</v>
          </cell>
          <cell r="H13">
            <v>0.15</v>
          </cell>
        </row>
        <row r="14">
          <cell r="E14" t="str">
            <v>4D</v>
          </cell>
          <cell r="H14">
            <v>0.1</v>
          </cell>
        </row>
        <row r="15">
          <cell r="E15" t="str">
            <v>5A</v>
          </cell>
          <cell r="H15">
            <v>0.6</v>
          </cell>
        </row>
        <row r="16">
          <cell r="E16" t="str">
            <v>5B</v>
          </cell>
          <cell r="H16">
            <v>0.3</v>
          </cell>
        </row>
        <row r="17">
          <cell r="E17" t="str">
            <v>5C</v>
          </cell>
          <cell r="H17">
            <v>0.1</v>
          </cell>
        </row>
        <row r="18">
          <cell r="E18" t="str">
            <v>6A</v>
          </cell>
          <cell r="H18">
            <v>0.69</v>
          </cell>
        </row>
        <row r="19">
          <cell r="E19" t="str">
            <v>6B</v>
          </cell>
          <cell r="H19">
            <v>0.3</v>
          </cell>
        </row>
        <row r="20">
          <cell r="E20" t="str">
            <v>6C</v>
          </cell>
          <cell r="H20">
            <v>0.01</v>
          </cell>
        </row>
        <row r="21">
          <cell r="E21" t="str">
            <v>7A</v>
          </cell>
          <cell r="H21">
            <v>0.6</v>
          </cell>
        </row>
        <row r="22">
          <cell r="E22" t="str">
            <v>7B</v>
          </cell>
          <cell r="H22">
            <v>0.3</v>
          </cell>
        </row>
        <row r="23">
          <cell r="E23" t="str">
            <v>7C</v>
          </cell>
          <cell r="H23">
            <v>0.1</v>
          </cell>
        </row>
        <row r="24">
          <cell r="E24" t="str">
            <v>8A</v>
          </cell>
          <cell r="H24">
            <v>0.6</v>
          </cell>
        </row>
        <row r="25">
          <cell r="E25" t="str">
            <v>8B</v>
          </cell>
          <cell r="H25">
            <v>0.3</v>
          </cell>
        </row>
        <row r="26">
          <cell r="E26" t="str">
            <v>8C</v>
          </cell>
          <cell r="H26">
            <v>0.1</v>
          </cell>
        </row>
      </sheetData>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alificación Técnica"/>
      <sheetName val="P1"/>
      <sheetName val="P1 PUNTAJE"/>
      <sheetName val="P2"/>
      <sheetName val="P2 puntaje"/>
      <sheetName val="P3"/>
      <sheetName val="P3 PUNTAJE "/>
      <sheetName val="P4"/>
      <sheetName val="P4 PUNTAJE"/>
      <sheetName val="P5"/>
      <sheetName val="P5 PUNTAJE"/>
      <sheetName val="P6"/>
      <sheetName val="P6 PUNTAJE"/>
      <sheetName val="P7"/>
      <sheetName val="P7 PUNTAJE"/>
      <sheetName val="P8"/>
      <sheetName val="P8 PUNTAJE "/>
      <sheetName val="RESUMEN"/>
      <sheetName val="PROPONENTES"/>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F20">
            <v>286000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0"/>
  </sheetPr>
  <dimension ref="A1:G61"/>
  <sheetViews>
    <sheetView showGridLines="0" zoomScaleNormal="100" workbookViewId="0">
      <selection activeCell="C55" sqref="C55"/>
    </sheetView>
  </sheetViews>
  <sheetFormatPr baseColWidth="10" defaultColWidth="13" defaultRowHeight="14.25" x14ac:dyDescent="0.2"/>
  <cols>
    <col min="1" max="1" width="16.85546875" style="8" customWidth="1"/>
    <col min="2" max="2" width="39" style="8" customWidth="1"/>
    <col min="3" max="3" width="41.42578125" style="8" bestFit="1" customWidth="1"/>
    <col min="4" max="4" width="44.28515625" style="8" bestFit="1" customWidth="1"/>
    <col min="5" max="5" width="32" style="8" customWidth="1"/>
    <col min="6" max="6" width="31.5703125" style="8" customWidth="1"/>
    <col min="7" max="7" width="20" style="8" customWidth="1"/>
    <col min="8" max="8" width="15.85546875" style="8" customWidth="1"/>
    <col min="9" max="16384" width="13" style="8"/>
  </cols>
  <sheetData>
    <row r="1" spans="1:4" ht="19.5" thickTop="1" thickBot="1" x14ac:dyDescent="0.3">
      <c r="A1" s="484" t="s">
        <v>52</v>
      </c>
      <c r="B1" s="485"/>
      <c r="C1" s="485"/>
      <c r="D1" s="486"/>
    </row>
    <row r="2" spans="1:4" ht="15.75" thickBot="1" x14ac:dyDescent="0.3">
      <c r="A2" s="487" t="s">
        <v>12</v>
      </c>
      <c r="B2" s="488"/>
      <c r="C2" s="488"/>
      <c r="D2" s="489"/>
    </row>
    <row r="3" spans="1:4" ht="15.75" customHeight="1" x14ac:dyDescent="0.25">
      <c r="A3" s="9" t="s">
        <v>13</v>
      </c>
      <c r="B3" s="497" t="s">
        <v>53</v>
      </c>
      <c r="C3" s="498"/>
      <c r="D3" s="499"/>
    </row>
    <row r="4" spans="1:4" ht="15" x14ac:dyDescent="0.25">
      <c r="A4" s="9"/>
      <c r="B4" s="490"/>
      <c r="C4" s="491"/>
      <c r="D4" s="492"/>
    </row>
    <row r="5" spans="1:4" ht="36.75" hidden="1" x14ac:dyDescent="0.25">
      <c r="A5" s="9" t="s">
        <v>14</v>
      </c>
      <c r="B5" s="490"/>
      <c r="C5" s="491"/>
      <c r="D5" s="492"/>
    </row>
    <row r="6" spans="1:4" ht="24.75" x14ac:dyDescent="0.25">
      <c r="A6" s="9" t="s">
        <v>15</v>
      </c>
      <c r="B6" s="490" t="s">
        <v>54</v>
      </c>
      <c r="C6" s="491"/>
      <c r="D6" s="492"/>
    </row>
    <row r="7" spans="1:4" ht="35.25" customHeight="1" x14ac:dyDescent="0.25">
      <c r="A7" s="10" t="s">
        <v>16</v>
      </c>
      <c r="B7" s="490" t="s">
        <v>55</v>
      </c>
      <c r="C7" s="491"/>
      <c r="D7" s="492"/>
    </row>
    <row r="8" spans="1:4" ht="48.75" hidden="1" x14ac:dyDescent="0.25">
      <c r="A8" s="10" t="s">
        <v>17</v>
      </c>
      <c r="B8" s="490" t="s">
        <v>18</v>
      </c>
      <c r="C8" s="491"/>
      <c r="D8" s="492"/>
    </row>
    <row r="9" spans="1:4" ht="48.75" hidden="1" x14ac:dyDescent="0.25">
      <c r="A9" s="10" t="s">
        <v>19</v>
      </c>
      <c r="B9" s="490" t="s">
        <v>20</v>
      </c>
      <c r="C9" s="491"/>
      <c r="D9" s="492"/>
    </row>
    <row r="10" spans="1:4" ht="15" x14ac:dyDescent="0.25">
      <c r="A10" s="10"/>
      <c r="B10" s="493"/>
      <c r="C10" s="491"/>
      <c r="D10" s="492"/>
    </row>
    <row r="11" spans="1:4" ht="25.5" thickBot="1" x14ac:dyDescent="0.3">
      <c r="A11" s="11" t="s">
        <v>21</v>
      </c>
      <c r="B11" s="494">
        <v>40136</v>
      </c>
      <c r="C11" s="495"/>
      <c r="D11" s="496"/>
    </row>
    <row r="12" spans="1:4" ht="15.75" thickBot="1" x14ac:dyDescent="0.3">
      <c r="A12" s="487" t="s">
        <v>22</v>
      </c>
      <c r="B12" s="488"/>
      <c r="C12" s="488"/>
      <c r="D12" s="489"/>
    </row>
    <row r="13" spans="1:4" ht="15.75" thickBot="1" x14ac:dyDescent="0.3">
      <c r="A13" s="12" t="s">
        <v>23</v>
      </c>
      <c r="B13" s="13" t="s">
        <v>24</v>
      </c>
      <c r="C13" s="13" t="s">
        <v>25</v>
      </c>
      <c r="D13" s="14" t="s">
        <v>26</v>
      </c>
    </row>
    <row r="14" spans="1:4" x14ac:dyDescent="0.2">
      <c r="A14" s="15" t="s">
        <v>27</v>
      </c>
      <c r="B14" s="16" t="s">
        <v>28</v>
      </c>
      <c r="C14" s="17">
        <v>120</v>
      </c>
      <c r="D14" s="18">
        <v>48</v>
      </c>
    </row>
    <row r="15" spans="1:4" x14ac:dyDescent="0.2">
      <c r="A15" s="19" t="s">
        <v>29</v>
      </c>
      <c r="B15" s="20" t="s">
        <v>30</v>
      </c>
      <c r="C15" s="21">
        <v>72</v>
      </c>
      <c r="D15" s="7">
        <v>48</v>
      </c>
    </row>
    <row r="16" spans="1:4" x14ac:dyDescent="0.2">
      <c r="A16" s="19" t="s">
        <v>56</v>
      </c>
      <c r="B16" s="20" t="s">
        <v>60</v>
      </c>
      <c r="C16" s="21">
        <v>120</v>
      </c>
      <c r="D16" s="7">
        <v>48</v>
      </c>
    </row>
    <row r="17" spans="1:7" x14ac:dyDescent="0.2">
      <c r="A17" s="19" t="s">
        <v>57</v>
      </c>
      <c r="B17" s="20" t="s">
        <v>9</v>
      </c>
      <c r="C17" s="21">
        <v>60</v>
      </c>
      <c r="D17" s="7">
        <v>24</v>
      </c>
    </row>
    <row r="18" spans="1:7" x14ac:dyDescent="0.2">
      <c r="A18" s="19" t="s">
        <v>58</v>
      </c>
      <c r="B18" s="20" t="s">
        <v>10</v>
      </c>
      <c r="C18" s="21">
        <v>120</v>
      </c>
      <c r="D18" s="7"/>
    </row>
    <row r="19" spans="1:7" ht="15" thickBot="1" x14ac:dyDescent="0.25">
      <c r="A19" s="19" t="s">
        <v>59</v>
      </c>
      <c r="B19" s="20" t="s">
        <v>11</v>
      </c>
      <c r="C19" s="21"/>
      <c r="D19" s="7">
        <v>60</v>
      </c>
    </row>
    <row r="20" spans="1:7" ht="15.75" thickBot="1" x14ac:dyDescent="0.3">
      <c r="A20" s="487" t="s">
        <v>31</v>
      </c>
      <c r="B20" s="488"/>
      <c r="C20" s="488"/>
      <c r="D20" s="489"/>
    </row>
    <row r="21" spans="1:7" ht="15.75" thickBot="1" x14ac:dyDescent="0.3">
      <c r="A21" s="22" t="s">
        <v>23</v>
      </c>
      <c r="B21" s="23" t="str">
        <f>CARGO1</f>
        <v>DIRECTOR</v>
      </c>
      <c r="C21" s="23" t="str">
        <f>CARGO2</f>
        <v>RESIDENTE</v>
      </c>
      <c r="D21" s="24" t="str">
        <f>CARGO3</f>
        <v>ESPECIALISTA EN VIAS O PAVIMENTOS</v>
      </c>
      <c r="E21" s="24" t="str">
        <f>CARGO4</f>
        <v>ESPECIALISTA AMBIENTAL</v>
      </c>
      <c r="F21" s="24" t="str">
        <f>CARGO5</f>
        <v>TOPOGRAFO</v>
      </c>
      <c r="G21" s="24" t="str">
        <f>CARGO6</f>
        <v>INSPECTOR</v>
      </c>
    </row>
    <row r="22" spans="1:7" x14ac:dyDescent="0.2">
      <c r="A22" s="25">
        <v>1</v>
      </c>
      <c r="B22" s="26" t="s">
        <v>6</v>
      </c>
      <c r="C22" s="26" t="s">
        <v>6</v>
      </c>
      <c r="D22" s="26" t="s">
        <v>6</v>
      </c>
      <c r="E22" s="27" t="s">
        <v>61</v>
      </c>
      <c r="F22" s="27" t="s">
        <v>10</v>
      </c>
      <c r="G22" s="27"/>
    </row>
    <row r="23" spans="1:7" x14ac:dyDescent="0.2">
      <c r="A23" s="28">
        <v>2</v>
      </c>
      <c r="B23" s="29" t="s">
        <v>8</v>
      </c>
      <c r="C23" s="29" t="s">
        <v>8</v>
      </c>
      <c r="D23" s="29" t="s">
        <v>8</v>
      </c>
      <c r="E23" s="30" t="s">
        <v>9</v>
      </c>
      <c r="F23" s="30"/>
      <c r="G23" s="30"/>
    </row>
    <row r="24" spans="1:7" ht="29.25" customHeight="1" x14ac:dyDescent="0.2">
      <c r="A24" s="28">
        <v>3</v>
      </c>
      <c r="B24" s="45" t="s">
        <v>62</v>
      </c>
      <c r="C24" s="29" t="s">
        <v>32</v>
      </c>
      <c r="D24" s="30" t="s">
        <v>63</v>
      </c>
      <c r="E24" s="30"/>
      <c r="F24" s="30"/>
      <c r="G24" s="30"/>
    </row>
    <row r="25" spans="1:7" x14ac:dyDescent="0.2">
      <c r="A25" s="28">
        <v>4</v>
      </c>
      <c r="B25" s="29" t="s">
        <v>64</v>
      </c>
      <c r="C25" s="29" t="s">
        <v>65</v>
      </c>
      <c r="D25" s="30"/>
      <c r="E25" s="30"/>
      <c r="F25" s="30"/>
      <c r="G25" s="30"/>
    </row>
    <row r="26" spans="1:7" x14ac:dyDescent="0.2">
      <c r="A26" s="28">
        <v>5</v>
      </c>
      <c r="B26" s="29" t="s">
        <v>9</v>
      </c>
      <c r="C26" s="29"/>
      <c r="D26" s="30"/>
      <c r="E26" s="30"/>
      <c r="F26" s="30"/>
      <c r="G26" s="30"/>
    </row>
    <row r="27" spans="1:7" x14ac:dyDescent="0.2">
      <c r="A27" s="28">
        <v>6</v>
      </c>
      <c r="B27" s="29" t="s">
        <v>10</v>
      </c>
      <c r="C27" s="29"/>
      <c r="D27" s="30"/>
      <c r="E27" s="30"/>
      <c r="F27" s="30"/>
      <c r="G27" s="30"/>
    </row>
    <row r="28" spans="1:7" x14ac:dyDescent="0.2">
      <c r="A28" s="28">
        <v>7</v>
      </c>
      <c r="B28" s="29" t="s">
        <v>11</v>
      </c>
      <c r="C28" s="29"/>
      <c r="D28" s="30"/>
      <c r="E28" s="30"/>
      <c r="F28" s="30"/>
      <c r="G28" s="30"/>
    </row>
    <row r="29" spans="1:7" x14ac:dyDescent="0.2">
      <c r="A29" s="28">
        <v>8</v>
      </c>
      <c r="B29" s="29" t="s">
        <v>32</v>
      </c>
      <c r="C29" s="29"/>
      <c r="D29" s="30"/>
      <c r="E29" s="30"/>
      <c r="F29" s="30"/>
      <c r="G29" s="30"/>
    </row>
    <row r="30" spans="1:7" x14ac:dyDescent="0.2">
      <c r="A30" s="28">
        <v>9</v>
      </c>
      <c r="B30" s="29"/>
      <c r="C30" s="29"/>
      <c r="D30" s="30"/>
      <c r="E30" s="30"/>
      <c r="F30" s="30"/>
      <c r="G30" s="30"/>
    </row>
    <row r="31" spans="1:7" x14ac:dyDescent="0.2">
      <c r="A31" s="28">
        <v>10</v>
      </c>
      <c r="B31" s="29"/>
      <c r="C31" s="29"/>
      <c r="D31" s="30"/>
      <c r="E31" s="30"/>
      <c r="F31" s="30"/>
      <c r="G31" s="30"/>
    </row>
    <row r="32" spans="1:7" x14ac:dyDescent="0.2">
      <c r="A32" s="28">
        <v>11</v>
      </c>
      <c r="B32" s="29"/>
      <c r="C32" s="29"/>
      <c r="D32" s="30"/>
      <c r="E32" s="30"/>
      <c r="F32" s="30"/>
      <c r="G32" s="30"/>
    </row>
    <row r="33" spans="1:7" x14ac:dyDescent="0.2">
      <c r="A33" s="28">
        <v>12</v>
      </c>
      <c r="B33" s="29"/>
      <c r="C33" s="29"/>
      <c r="D33" s="30"/>
      <c r="E33" s="30"/>
      <c r="F33" s="30"/>
      <c r="G33" s="30"/>
    </row>
    <row r="34" spans="1:7" x14ac:dyDescent="0.2">
      <c r="A34" s="28">
        <v>13</v>
      </c>
      <c r="B34" s="29"/>
      <c r="C34" s="29"/>
      <c r="D34" s="30"/>
      <c r="E34" s="30"/>
      <c r="F34" s="30"/>
      <c r="G34" s="30"/>
    </row>
    <row r="35" spans="1:7" x14ac:dyDescent="0.2">
      <c r="A35" s="28">
        <v>14</v>
      </c>
      <c r="B35" s="29"/>
      <c r="C35" s="29"/>
      <c r="D35" s="30"/>
      <c r="E35" s="30"/>
      <c r="F35" s="30"/>
      <c r="G35" s="30"/>
    </row>
    <row r="36" spans="1:7" ht="15" thickBot="1" x14ac:dyDescent="0.25">
      <c r="A36" s="31">
        <v>15</v>
      </c>
      <c r="B36" s="32"/>
      <c r="C36" s="32"/>
      <c r="D36" s="33"/>
      <c r="E36" s="33"/>
      <c r="F36" s="33"/>
      <c r="G36" s="33"/>
    </row>
    <row r="37" spans="1:7" ht="15.75" thickTop="1" thickBot="1" x14ac:dyDescent="0.25">
      <c r="A37" s="511" t="s">
        <v>33</v>
      </c>
      <c r="B37" s="512"/>
      <c r="C37" s="512"/>
      <c r="D37" s="513"/>
    </row>
    <row r="38" spans="1:7" ht="15" thickBot="1" x14ac:dyDescent="0.25">
      <c r="A38" s="506" t="s">
        <v>34</v>
      </c>
      <c r="B38" s="507"/>
      <c r="C38" s="507"/>
      <c r="D38" s="508"/>
    </row>
    <row r="39" spans="1:7" ht="15" thickBot="1" x14ac:dyDescent="0.25">
      <c r="A39" s="34" t="s">
        <v>5</v>
      </c>
      <c r="B39" s="35" t="s">
        <v>35</v>
      </c>
      <c r="C39" s="35" t="s">
        <v>36</v>
      </c>
      <c r="D39" s="36" t="s">
        <v>37</v>
      </c>
    </row>
    <row r="40" spans="1:7" x14ac:dyDescent="0.2">
      <c r="A40" s="509" t="str">
        <f>CARGO1</f>
        <v>DIRECTOR</v>
      </c>
      <c r="B40" s="37" t="s">
        <v>38</v>
      </c>
      <c r="C40" s="38">
        <v>125</v>
      </c>
      <c r="D40" s="501" t="str">
        <f>C40&amp;" - "&amp;C41</f>
        <v>125 - 140</v>
      </c>
    </row>
    <row r="41" spans="1:7" x14ac:dyDescent="0.2">
      <c r="A41" s="510"/>
      <c r="B41" s="39" t="s">
        <v>7</v>
      </c>
      <c r="C41" s="514">
        <v>140</v>
      </c>
      <c r="D41" s="502"/>
    </row>
    <row r="42" spans="1:7" x14ac:dyDescent="0.2">
      <c r="A42" s="510"/>
      <c r="B42" s="39" t="s">
        <v>39</v>
      </c>
      <c r="C42" s="514"/>
      <c r="D42" s="502"/>
    </row>
    <row r="43" spans="1:7" x14ac:dyDescent="0.2">
      <c r="A43" s="500" t="str">
        <f>CARGO2</f>
        <v>RESIDENTE</v>
      </c>
      <c r="B43" s="40" t="s">
        <v>38</v>
      </c>
      <c r="C43" s="6">
        <v>125</v>
      </c>
      <c r="D43" s="505" t="str">
        <f>C43&amp;" - "&amp;C44</f>
        <v>125 - 150</v>
      </c>
    </row>
    <row r="44" spans="1:7" x14ac:dyDescent="0.2">
      <c r="A44" s="500"/>
      <c r="B44" s="40" t="s">
        <v>7</v>
      </c>
      <c r="C44" s="515">
        <v>150</v>
      </c>
      <c r="D44" s="505"/>
    </row>
    <row r="45" spans="1:7" ht="15" thickBot="1" x14ac:dyDescent="0.25">
      <c r="A45" s="500"/>
      <c r="B45" s="40" t="s">
        <v>39</v>
      </c>
      <c r="C45" s="515"/>
      <c r="D45" s="505"/>
    </row>
    <row r="46" spans="1:7" ht="15" thickBot="1" x14ac:dyDescent="0.25">
      <c r="A46" s="506" t="s">
        <v>40</v>
      </c>
      <c r="B46" s="507"/>
      <c r="C46" s="507"/>
      <c r="D46" s="508"/>
    </row>
    <row r="47" spans="1:7" ht="15" thickBot="1" x14ac:dyDescent="0.25">
      <c r="A47" s="34" t="s">
        <v>5</v>
      </c>
      <c r="B47" s="35" t="s">
        <v>41</v>
      </c>
      <c r="C47" s="35" t="s">
        <v>42</v>
      </c>
      <c r="D47" s="36" t="s">
        <v>37</v>
      </c>
    </row>
    <row r="48" spans="1:7" x14ac:dyDescent="0.2">
      <c r="A48" s="509" t="str">
        <f>CARGO1</f>
        <v>DIRECTOR</v>
      </c>
      <c r="B48" s="41" t="s">
        <v>43</v>
      </c>
      <c r="C48" s="38">
        <v>130</v>
      </c>
      <c r="D48" s="501" t="str">
        <f>C48&amp;" - "&amp;C49</f>
        <v>130 - 140</v>
      </c>
    </row>
    <row r="49" spans="1:4" x14ac:dyDescent="0.2">
      <c r="A49" s="510"/>
      <c r="B49" s="42" t="s">
        <v>44</v>
      </c>
      <c r="C49" s="5">
        <v>140</v>
      </c>
      <c r="D49" s="502"/>
    </row>
    <row r="50" spans="1:4" x14ac:dyDescent="0.2">
      <c r="A50" s="500" t="str">
        <f>CARGO2</f>
        <v>RESIDENTE</v>
      </c>
      <c r="B50" s="43" t="s">
        <v>45</v>
      </c>
      <c r="C50" s="6">
        <v>130</v>
      </c>
      <c r="D50" s="503" t="str">
        <f>C50&amp;" - "&amp;C51</f>
        <v>130 - 160</v>
      </c>
    </row>
    <row r="51" spans="1:4" x14ac:dyDescent="0.2">
      <c r="A51" s="500"/>
      <c r="B51" s="43" t="s">
        <v>46</v>
      </c>
      <c r="C51" s="6">
        <v>160</v>
      </c>
      <c r="D51" s="504"/>
    </row>
    <row r="57" spans="1:4" x14ac:dyDescent="0.2">
      <c r="A57" s="44" t="s">
        <v>47</v>
      </c>
    </row>
    <row r="58" spans="1:4" x14ac:dyDescent="0.2">
      <c r="A58" s="8">
        <v>1</v>
      </c>
      <c r="B58" s="8" t="s">
        <v>48</v>
      </c>
    </row>
    <row r="59" spans="1:4" x14ac:dyDescent="0.2">
      <c r="A59" s="8">
        <v>2</v>
      </c>
      <c r="B59" s="8" t="s">
        <v>49</v>
      </c>
    </row>
    <row r="60" spans="1:4" x14ac:dyDescent="0.2">
      <c r="A60" s="8">
        <v>3</v>
      </c>
      <c r="B60" s="8" t="s">
        <v>50</v>
      </c>
    </row>
    <row r="61" spans="1:4" x14ac:dyDescent="0.2">
      <c r="B61" s="8" t="s">
        <v>51</v>
      </c>
    </row>
  </sheetData>
  <mergeCells count="26">
    <mergeCell ref="A50:A51"/>
    <mergeCell ref="D48:D49"/>
    <mergeCell ref="D50:D51"/>
    <mergeCell ref="B5:D5"/>
    <mergeCell ref="D43:D45"/>
    <mergeCell ref="A38:D38"/>
    <mergeCell ref="A46:D46"/>
    <mergeCell ref="A48:A49"/>
    <mergeCell ref="A20:D20"/>
    <mergeCell ref="A37:D37"/>
    <mergeCell ref="A43:A45"/>
    <mergeCell ref="A40:A42"/>
    <mergeCell ref="C41:C42"/>
    <mergeCell ref="D40:D42"/>
    <mergeCell ref="C44:C45"/>
    <mergeCell ref="A1:D1"/>
    <mergeCell ref="A12:D12"/>
    <mergeCell ref="A2:D2"/>
    <mergeCell ref="B9:D9"/>
    <mergeCell ref="B10:D10"/>
    <mergeCell ref="B11:D11"/>
    <mergeCell ref="B3:D3"/>
    <mergeCell ref="B6:D6"/>
    <mergeCell ref="B7:D7"/>
    <mergeCell ref="B8:D8"/>
    <mergeCell ref="B4:D4"/>
  </mergeCells>
  <phoneticPr fontId="2" type="noConversion"/>
  <conditionalFormatting sqref="C48:C51 B14:D19 C40:C45 B3:B11 B22:G36">
    <cfRule type="cellIs" dxfId="34" priority="1" stopIfTrue="1" operator="equal">
      <formula>0</formula>
    </cfRule>
  </conditionalFormatting>
  <dataValidations disablePrompts="1" count="2">
    <dataValidation type="list" allowBlank="1" showInputMessage="1" showErrorMessage="1" sqref="B3">
      <formula1>DEPENDENCIAS</formula1>
    </dataValidation>
    <dataValidation type="whole" allowBlank="1" showInputMessage="1" showErrorMessage="1" sqref="B5">
      <formula1>1</formula1>
      <formula2>6</formula2>
    </dataValidation>
  </dataValidations>
  <pageMargins left="0.7" right="0.7" top="0.75" bottom="0.75" header="0.3" footer="0.3"/>
  <pageSetup scale="7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50"/>
  <sheetViews>
    <sheetView view="pageBreakPreview" zoomScale="40" zoomScaleNormal="80" zoomScaleSheetLayoutView="40" workbookViewId="0">
      <selection activeCell="L17" sqref="L17:Q17"/>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5.8554687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21.140625" style="1" customWidth="1"/>
    <col min="13" max="13" width="25.140625" style="1" bestFit="1" customWidth="1"/>
    <col min="14" max="16" width="15.42578125" style="1" customWidth="1"/>
    <col min="17" max="17" width="23.42578125" style="1" customWidth="1"/>
    <col min="18" max="19" width="17.28515625" style="1" customWidth="1"/>
    <col min="20" max="20" width="21.7109375" style="3" customWidth="1"/>
    <col min="21" max="21" width="11.42578125" style="3" customWidth="1"/>
    <col min="22" max="22" width="9.140625" style="3" customWidth="1"/>
    <col min="23" max="23" width="10.5703125" style="3" customWidth="1"/>
    <col min="24" max="24" width="16.5703125" style="3" customWidth="1"/>
    <col min="25" max="25" width="16.42578125" style="2" customWidth="1"/>
    <col min="26" max="30" width="14.85546875" style="2" customWidth="1"/>
    <col min="31" max="31" width="12.42578125" style="2" bestFit="1" customWidth="1"/>
    <col min="32" max="32" width="17.42578125" style="2" customWidth="1"/>
    <col min="33" max="33" width="19" style="2" customWidth="1"/>
    <col min="34" max="34" width="16.85546875" style="2" customWidth="1"/>
    <col min="35" max="35" width="17.28515625" style="2" customWidth="1"/>
    <col min="36" max="36" width="17" style="2" customWidth="1"/>
    <col min="37" max="37" width="17.28515625" style="2" customWidth="1"/>
    <col min="38" max="38" width="16.7109375" style="2" customWidth="1"/>
    <col min="39" max="39" width="16.85546875" style="1" customWidth="1"/>
    <col min="40" max="40" width="16.5703125" style="1" customWidth="1"/>
    <col min="41" max="42" width="16.42578125" style="1" customWidth="1"/>
    <col min="43" max="43" width="5" style="1" bestFit="1" customWidth="1"/>
    <col min="44" max="44" width="2.28515625" style="1" bestFit="1" customWidth="1"/>
    <col min="45" max="45" width="5" style="1" bestFit="1" customWidth="1"/>
    <col min="46" max="46" width="5.5703125" style="1" bestFit="1" customWidth="1"/>
    <col min="47" max="47" width="6.5703125" style="1" bestFit="1" customWidth="1"/>
    <col min="48" max="48" width="2.42578125" style="1" bestFit="1" customWidth="1"/>
    <col min="49" max="49" width="8.7109375" style="1" bestFit="1" customWidth="1"/>
    <col min="50" max="50" width="11.42578125" style="1" bestFit="1" customWidth="1"/>
    <col min="51" max="16384" width="11.5703125" style="1"/>
  </cols>
  <sheetData>
    <row r="1" spans="1:49" ht="21" customHeight="1" x14ac:dyDescent="0.2">
      <c r="A1" s="90" t="s">
        <v>146</v>
      </c>
    </row>
    <row r="2" spans="1:49" ht="8.25" customHeight="1" x14ac:dyDescent="0.2"/>
    <row r="3" spans="1:49"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c r="AH3" s="79"/>
      <c r="AI3" s="79"/>
      <c r="AJ3" s="79"/>
      <c r="AK3" s="79"/>
      <c r="AL3" s="79"/>
    </row>
    <row r="4" spans="1:49"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t="s">
        <v>129</v>
      </c>
      <c r="AC4" s="85" t="s">
        <v>130</v>
      </c>
      <c r="AD4" s="85" t="s">
        <v>131</v>
      </c>
      <c r="AE4" s="85" t="s">
        <v>132</v>
      </c>
      <c r="AF4" s="85" t="s">
        <v>137</v>
      </c>
      <c r="AG4" s="153" t="s">
        <v>138</v>
      </c>
      <c r="AH4" s="85"/>
      <c r="AI4" s="85"/>
      <c r="AJ4" s="85"/>
      <c r="AK4" s="85"/>
      <c r="AL4" s="85"/>
    </row>
    <row r="5" spans="1:49" ht="93.75" customHeight="1" x14ac:dyDescent="0.2">
      <c r="A5" s="677" t="s">
        <v>1</v>
      </c>
      <c r="B5" s="679"/>
      <c r="C5" s="683"/>
      <c r="D5" s="684"/>
      <c r="E5" s="684"/>
      <c r="F5" s="685"/>
      <c r="G5" s="683"/>
      <c r="H5" s="685"/>
      <c r="I5" s="697" t="s">
        <v>124</v>
      </c>
      <c r="J5" s="698"/>
      <c r="K5" s="122" t="s">
        <v>109</v>
      </c>
      <c r="L5" s="251" t="s">
        <v>165</v>
      </c>
      <c r="M5" s="122" t="s">
        <v>148</v>
      </c>
      <c r="N5" s="122" t="s">
        <v>67</v>
      </c>
      <c r="O5" s="690"/>
      <c r="P5" s="694"/>
      <c r="Q5" s="695"/>
      <c r="R5" s="695"/>
      <c r="S5" s="695"/>
      <c r="T5" s="695"/>
      <c r="U5" s="696"/>
      <c r="V5" s="82"/>
      <c r="W5" s="82"/>
      <c r="X5" s="82"/>
      <c r="Y5" s="86"/>
      <c r="Z5" s="86"/>
      <c r="AA5" s="86"/>
      <c r="AB5" s="85">
        <v>1</v>
      </c>
      <c r="AC5" s="139">
        <v>7067480705</v>
      </c>
      <c r="AD5" s="139">
        <f>+AC5*1.5</f>
        <v>10601221057.5</v>
      </c>
      <c r="AE5" s="141">
        <f>+AD5/566700</f>
        <v>18706.936752249869</v>
      </c>
      <c r="AF5" s="141">
        <f>+AC5/566700</f>
        <v>12471.291168166579</v>
      </c>
      <c r="AG5" s="154">
        <v>163.21</v>
      </c>
      <c r="AH5" s="86"/>
      <c r="AI5" s="86"/>
      <c r="AJ5" s="86"/>
      <c r="AK5" s="86"/>
      <c r="AL5" s="1"/>
    </row>
    <row r="6" spans="1:49" ht="27" customHeight="1" thickBot="1" x14ac:dyDescent="0.25">
      <c r="A6" s="102">
        <v>4</v>
      </c>
      <c r="B6" s="103" t="str">
        <f>INDEX(PROPONENTES!B1:B8,MATCH(A6,PROPONENTES!A1:A8,0))</f>
        <v>CONSORCIO CSLVC</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v>2</v>
      </c>
      <c r="AC6" s="139">
        <v>4386497161</v>
      </c>
      <c r="AD6" s="140" t="e">
        <f>#N/A</f>
        <v>#N/A</v>
      </c>
      <c r="AE6" s="141" t="e">
        <f>#N/A</f>
        <v>#N/A</v>
      </c>
      <c r="AF6" s="141">
        <f>+AC6/566700</f>
        <v>7740.422023998588</v>
      </c>
      <c r="AG6" s="154">
        <v>297.10000000000002</v>
      </c>
      <c r="AH6" s="80"/>
      <c r="AI6" s="80"/>
      <c r="AJ6" s="80"/>
      <c r="AK6" s="80"/>
      <c r="AL6" s="1"/>
    </row>
    <row r="7" spans="1:49" ht="30.75" customHeight="1" thickTop="1" x14ac:dyDescent="0.2">
      <c r="A7" s="105" t="str">
        <f>CONCATENATE($A$6,"A")</f>
        <v>4A</v>
      </c>
      <c r="B7" s="106" t="str">
        <f>IFERROR(INDEX(PROPONENTES!$F$1:$F$23,MATCH(A7,PROPONENTES!$E$1:$E$23,0)),"")</f>
        <v>CONSULTOR DE INGENIERA CIVIL SA</v>
      </c>
      <c r="C7" s="707">
        <f>IFERROR(INDEX(PROPONENTES!$H$1:$H$23,MATCH(A7,PROPONENTES!$E$1:$E$23,0)),"")</f>
        <v>0.6</v>
      </c>
      <c r="D7" s="707"/>
      <c r="E7" s="638" t="str">
        <f>IF(B7="","N. A.",IF(C7&lt;=40%,"NO LIDER","LIDER"))</f>
        <v>LIDER</v>
      </c>
      <c r="F7" s="638"/>
      <c r="G7" s="670" t="s">
        <v>77</v>
      </c>
      <c r="H7" s="670"/>
      <c r="I7" s="638" t="str">
        <f>IF(B7="","N.A.",IF(OR(G7="E"),"APLICA FORMATO 1","APLICA RUP"))</f>
        <v>APLICA RUP</v>
      </c>
      <c r="J7" s="638"/>
      <c r="K7" s="227" t="s">
        <v>78</v>
      </c>
      <c r="L7" s="227" t="s">
        <v>78</v>
      </c>
      <c r="M7" s="88" t="s">
        <v>108</v>
      </c>
      <c r="N7" s="97" t="str">
        <f>IF(B7="","N. A.",IF(AND(K7="SI",L7="SI",M7="N.A."),"HABIL","NO HABIL"))</f>
        <v>HABIL</v>
      </c>
      <c r="O7" s="229">
        <v>25</v>
      </c>
      <c r="P7" s="666" t="s">
        <v>446</v>
      </c>
      <c r="Q7" s="667"/>
      <c r="R7" s="667"/>
      <c r="S7" s="667"/>
      <c r="T7" s="667"/>
      <c r="U7" s="668"/>
      <c r="V7" s="83"/>
      <c r="W7" s="83"/>
      <c r="X7" s="83"/>
      <c r="Y7" s="81"/>
      <c r="Z7" s="81"/>
      <c r="AA7" s="81"/>
      <c r="AB7" s="85">
        <v>3</v>
      </c>
      <c r="AC7" s="139">
        <v>3714537836</v>
      </c>
      <c r="AD7" s="140" t="e">
        <f>#N/A</f>
        <v>#N/A</v>
      </c>
      <c r="AE7" s="141" t="e">
        <f>#N/A</f>
        <v>#N/A</v>
      </c>
      <c r="AF7" s="141" t="e">
        <f>#N/A</f>
        <v>#N/A</v>
      </c>
      <c r="AG7" s="154">
        <v>38.299999999999997</v>
      </c>
      <c r="AH7" s="81"/>
      <c r="AI7" s="81"/>
      <c r="AJ7" s="81"/>
      <c r="AK7" s="81"/>
      <c r="AL7" s="1"/>
      <c r="AM7" s="88" t="s">
        <v>77</v>
      </c>
      <c r="AN7" s="88" t="s">
        <v>78</v>
      </c>
      <c r="AO7" s="88" t="e">
        <f>IF(#REF!="HABIL",1,0)</f>
        <v>#REF!</v>
      </c>
      <c r="AP7" s="89" t="e">
        <f>SUM(AO7:AO10)</f>
        <v>#REF!</v>
      </c>
      <c r="AQ7" s="88" t="e">
        <f>IF(#REF!="HABIL",1,0)</f>
        <v>#REF!</v>
      </c>
      <c r="AR7" s="89" t="e">
        <f>SUM(AQ7:AQ10)</f>
        <v>#REF!</v>
      </c>
      <c r="AS7" s="88">
        <f>IF(B7="",0,IF(G7="O",17420*C7,0))</f>
        <v>10452</v>
      </c>
      <c r="AT7" s="88">
        <f>SUM(AS7:AS10)</f>
        <v>17420</v>
      </c>
      <c r="AU7" s="88" t="s">
        <v>74</v>
      </c>
      <c r="AV7" s="88" t="s">
        <v>76</v>
      </c>
      <c r="AW7" s="88">
        <v>0</v>
      </c>
    </row>
    <row r="8" spans="1:49" ht="36" customHeight="1" x14ac:dyDescent="0.2">
      <c r="A8" s="107" t="str">
        <f>CONCATENATE($A$6,"B")</f>
        <v>4B</v>
      </c>
      <c r="B8" s="108" t="str">
        <f>IFERROR(INDEX(PROPONENTES!$F$1:$F$23,MATCH(A8,PROPONENTES!$E$1:$E$23,0)),"")</f>
        <v>SILVA CARREÑO &amp; ASOCIADOS SAS</v>
      </c>
      <c r="C8" s="669">
        <f>IFERROR(INDEX(PROPONENTES!$H$1:$H$23,MATCH(A8,PROPONENTES!$E$1:$E$23,0)),"")</f>
        <v>0.15</v>
      </c>
      <c r="D8" s="669"/>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30</v>
      </c>
      <c r="P8" s="666" t="s">
        <v>163</v>
      </c>
      <c r="Q8" s="667"/>
      <c r="R8" s="667"/>
      <c r="S8" s="667"/>
      <c r="T8" s="667"/>
      <c r="U8" s="668"/>
      <c r="V8" s="83"/>
      <c r="W8" s="83"/>
      <c r="X8" s="83"/>
      <c r="Y8" s="81"/>
      <c r="Z8" s="81"/>
      <c r="AA8" s="81"/>
      <c r="AB8" s="85">
        <v>4</v>
      </c>
      <c r="AC8" s="139">
        <v>2398084008</v>
      </c>
      <c r="AD8" s="140" t="e">
        <f>#N/A</f>
        <v>#N/A</v>
      </c>
      <c r="AE8" s="141" t="e">
        <f>#N/A</f>
        <v>#N/A</v>
      </c>
      <c r="AF8" s="141" t="e">
        <f>#N/A</f>
        <v>#N/A</v>
      </c>
      <c r="AG8" s="154">
        <v>54.4</v>
      </c>
      <c r="AH8" s="81"/>
      <c r="AI8" s="81"/>
      <c r="AJ8" s="81"/>
      <c r="AK8" s="81"/>
      <c r="AL8" s="1"/>
      <c r="AM8" s="88" t="s">
        <v>79</v>
      </c>
      <c r="AN8" s="88" t="s">
        <v>111</v>
      </c>
      <c r="AO8" s="88" t="e">
        <f>IF(#REF!="HABIL",1,0)</f>
        <v>#REF!</v>
      </c>
      <c r="AP8" s="89"/>
      <c r="AQ8" s="88" t="e">
        <f>IF(#REF!="HABIL",1,0)</f>
        <v>#REF!</v>
      </c>
      <c r="AR8" s="88"/>
      <c r="AS8" s="88">
        <f>IF(B8="",0,IF(G8="O",17420*C8,0))</f>
        <v>2613</v>
      </c>
      <c r="AU8" s="88" t="s">
        <v>75</v>
      </c>
      <c r="AV8" s="88" t="s">
        <v>108</v>
      </c>
      <c r="AW8" s="88">
        <v>150</v>
      </c>
    </row>
    <row r="9" spans="1:49" ht="27.75" customHeight="1" x14ac:dyDescent="0.2">
      <c r="A9" s="107" t="str">
        <f>CONCATENATE($A$6,"C")</f>
        <v>4C</v>
      </c>
      <c r="B9" s="108" t="str">
        <f>IFERROR(INDEX(PROPONENTES!$F$1:$F$23,MATCH(A9,PROPONENTES!$E$1:$E$23,0)),"")</f>
        <v>LA VIALIDAD LTDA</v>
      </c>
      <c r="C9" s="669">
        <f>IFERROR(INDEX(PROPONENTES!$H$1:$H$23,MATCH(A9,PROPONENTES!$E$1:$E$23,0)),"")</f>
        <v>0.15</v>
      </c>
      <c r="D9" s="669"/>
      <c r="E9" s="638" t="str">
        <f>IF(B9="","N. A.",IF(C9&lt;=40%,"NO LIDER","LIDER"))</f>
        <v>NO LIDER</v>
      </c>
      <c r="F9" s="638"/>
      <c r="G9" s="670" t="s">
        <v>77</v>
      </c>
      <c r="H9" s="670"/>
      <c r="I9" s="639" t="str">
        <f>IF(B9="","N.A.",IF(OR(G9="E"),"APLICA FORMATO 1","APLICA RUP"))</f>
        <v>APLICA RUP</v>
      </c>
      <c r="J9" s="639"/>
      <c r="K9" s="168" t="s">
        <v>78</v>
      </c>
      <c r="L9" s="168" t="s">
        <v>78</v>
      </c>
      <c r="M9" s="250" t="s">
        <v>108</v>
      </c>
      <c r="N9" s="48" t="str">
        <f>IF(B9="","N. A.",IF(AND(K9="SI",L9="SI",M9="N.A."),"HABIL","NO HABIL"))</f>
        <v>HABIL</v>
      </c>
      <c r="O9" s="230">
        <v>40</v>
      </c>
      <c r="P9" s="666" t="s">
        <v>163</v>
      </c>
      <c r="Q9" s="667"/>
      <c r="R9" s="667"/>
      <c r="S9" s="667"/>
      <c r="T9" s="667"/>
      <c r="U9" s="668"/>
      <c r="V9" s="83"/>
      <c r="W9" s="83"/>
      <c r="X9" s="83"/>
      <c r="Y9" s="81"/>
      <c r="Z9" s="81"/>
      <c r="AA9" s="81"/>
      <c r="AB9" s="85">
        <v>5</v>
      </c>
      <c r="AC9" s="139">
        <v>1779028594.4000001</v>
      </c>
      <c r="AD9" s="140" t="e">
        <f>#N/A</f>
        <v>#N/A</v>
      </c>
      <c r="AE9" s="141" t="e">
        <f>#N/A</f>
        <v>#N/A</v>
      </c>
      <c r="AF9" s="141" t="e">
        <f>#N/A</f>
        <v>#N/A</v>
      </c>
      <c r="AG9" s="154">
        <v>82.04</v>
      </c>
      <c r="AH9" s="81"/>
      <c r="AI9" s="81"/>
      <c r="AJ9" s="81"/>
      <c r="AK9" s="81"/>
      <c r="AL9" s="1"/>
      <c r="AM9" s="88"/>
      <c r="AN9" s="88"/>
      <c r="AO9" s="88" t="e">
        <f>IF(#REF!="HABIL",1,0)</f>
        <v>#REF!</v>
      </c>
      <c r="AP9" s="89"/>
      <c r="AQ9" s="88" t="e">
        <f>IF(#REF!="HABIL",1,0)</f>
        <v>#REF!</v>
      </c>
      <c r="AR9" s="88"/>
      <c r="AS9" s="88">
        <f>IF(B9="",0,IF(G9="O",17420*C9,0))</f>
        <v>2613</v>
      </c>
      <c r="AW9" s="88" t="s">
        <v>120</v>
      </c>
    </row>
    <row r="10" spans="1:49" ht="29.25" customHeight="1" thickBot="1" x14ac:dyDescent="0.25">
      <c r="A10" s="109" t="str">
        <f>CONCATENATE($A$6,"D")</f>
        <v>4D</v>
      </c>
      <c r="B10" s="110" t="str">
        <f>IFERROR(INDEX(PROPONENTES!$F$1:$F$23,MATCH(A10,PROPONENTES!$E$1:$E$23,0)),"")</f>
        <v>JOSE WILMER CHILITO RIVADENEIRA</v>
      </c>
      <c r="C10" s="671">
        <f>IFERROR(INDEX(PROPONENTES!$H$1:$H$23,MATCH(A10,PROPONENTES!$E$1:$E$23,0)),"")</f>
        <v>0.1</v>
      </c>
      <c r="D10" s="671"/>
      <c r="E10" s="628" t="str">
        <f>IF(B10="","N. A.",IF(C9&lt;=40%,"NO LIDER","LIDER"))</f>
        <v>NO LIDER</v>
      </c>
      <c r="F10" s="628"/>
      <c r="G10" s="672" t="s">
        <v>77</v>
      </c>
      <c r="H10" s="672"/>
      <c r="I10" s="628" t="str">
        <f>IF(B10="","N.A.",IF(OR(G9="E"),"APLICA FORMATO 1","APLICA RUP"))</f>
        <v>APLICA RUP</v>
      </c>
      <c r="J10" s="628"/>
      <c r="K10" s="228" t="s">
        <v>78</v>
      </c>
      <c r="L10" s="228" t="s">
        <v>78</v>
      </c>
      <c r="M10" s="261" t="s">
        <v>108</v>
      </c>
      <c r="N10" s="49" t="str">
        <f>IF(B10="","N. A.",IF(AND(K10="SI",L10="SI",M10="N.A."),"HABIL","NO HABIL"))</f>
        <v>HABIL</v>
      </c>
      <c r="O10" s="178">
        <v>48</v>
      </c>
      <c r="P10" s="673" t="s">
        <v>163</v>
      </c>
      <c r="Q10" s="674"/>
      <c r="R10" s="674"/>
      <c r="S10" s="674"/>
      <c r="T10" s="674"/>
      <c r="U10" s="675"/>
      <c r="V10" s="83"/>
      <c r="W10" s="83"/>
      <c r="X10" s="83"/>
      <c r="Y10" s="81"/>
      <c r="Z10" s="81"/>
      <c r="AA10" s="81"/>
      <c r="AB10" s="85">
        <v>6</v>
      </c>
      <c r="AC10" s="139">
        <v>2424911490</v>
      </c>
      <c r="AD10" s="140" t="e">
        <f>#N/A</f>
        <v>#N/A</v>
      </c>
      <c r="AE10" s="141" t="e">
        <f>#N/A</f>
        <v>#N/A</v>
      </c>
      <c r="AF10" s="141" t="e">
        <f>#N/A</f>
        <v>#N/A</v>
      </c>
      <c r="AG10" s="154">
        <v>285</v>
      </c>
      <c r="AH10" s="81"/>
      <c r="AI10" s="81"/>
      <c r="AJ10" s="81"/>
      <c r="AK10" s="81"/>
      <c r="AL10" s="1"/>
      <c r="AM10" s="88"/>
      <c r="AN10" s="88"/>
      <c r="AO10" s="88" t="e">
        <f>IF(#REF!="HABIL",1,0)</f>
        <v>#REF!</v>
      </c>
      <c r="AP10" s="89"/>
      <c r="AQ10" s="88" t="e">
        <f>IF(#REF!="HABIL",1,0)</f>
        <v>#REF!</v>
      </c>
      <c r="AR10" s="88"/>
      <c r="AS10" s="88">
        <f>IF(B10="",0,IF(G10="O",17420*C10,0))</f>
        <v>1742</v>
      </c>
    </row>
    <row r="11" spans="1:49" ht="29.25" customHeight="1" x14ac:dyDescent="0.2">
      <c r="A11" s="142"/>
      <c r="B11" s="143"/>
      <c r="C11" s="144"/>
      <c r="D11" s="144"/>
      <c r="E11" s="123"/>
      <c r="F11" s="123"/>
      <c r="G11" s="146"/>
      <c r="H11" s="146"/>
      <c r="I11" s="123"/>
      <c r="J11" s="123"/>
      <c r="K11" s="147"/>
      <c r="L11" s="147"/>
      <c r="M11" s="147"/>
      <c r="N11" s="123"/>
      <c r="O11" s="123"/>
      <c r="P11" s="145"/>
      <c r="Q11" s="145"/>
      <c r="R11" s="145"/>
      <c r="S11" s="145"/>
      <c r="T11" s="145"/>
      <c r="U11" s="145"/>
      <c r="V11" s="83"/>
      <c r="W11" s="83"/>
      <c r="X11" s="83"/>
      <c r="Y11" s="81"/>
      <c r="Z11" s="81"/>
      <c r="AA11" s="81"/>
      <c r="AB11" s="85">
        <v>7</v>
      </c>
      <c r="AC11" s="139">
        <v>4834246259</v>
      </c>
      <c r="AD11" s="140" t="e">
        <f>#N/A</f>
        <v>#N/A</v>
      </c>
      <c r="AE11" s="141" t="e">
        <f>#N/A</f>
        <v>#N/A</v>
      </c>
      <c r="AF11" s="141" t="e">
        <f>#N/A</f>
        <v>#N/A</v>
      </c>
      <c r="AG11" s="154">
        <v>66.599999999999994</v>
      </c>
      <c r="AH11" s="81"/>
      <c r="AI11" s="81"/>
      <c r="AJ11" s="81"/>
      <c r="AK11" s="81"/>
      <c r="AL11" s="1"/>
      <c r="AM11" s="88"/>
      <c r="AN11" s="88"/>
      <c r="AO11" s="88"/>
      <c r="AP11" s="89"/>
      <c r="AQ11" s="88"/>
      <c r="AR11" s="88"/>
      <c r="AS11" s="88"/>
    </row>
    <row r="12" spans="1:49" ht="32.25" customHeight="1" x14ac:dyDescent="0.2">
      <c r="AB12" s="85">
        <v>8</v>
      </c>
      <c r="AC12" s="139">
        <v>11012084020</v>
      </c>
      <c r="AD12" s="139">
        <f>+AC12</f>
        <v>11012084020</v>
      </c>
      <c r="AE12" s="141" t="e">
        <f>#N/A</f>
        <v>#N/A</v>
      </c>
      <c r="AF12" s="141" t="e">
        <f>#N/A</f>
        <v>#N/A</v>
      </c>
      <c r="AG12" s="154">
        <v>131.5</v>
      </c>
      <c r="AL12" s="1"/>
      <c r="AP12" s="3"/>
    </row>
    <row r="13" spans="1:49" ht="18" customHeight="1" thickBot="1" x14ac:dyDescent="0.25">
      <c r="A13" s="74" t="s">
        <v>125</v>
      </c>
      <c r="T13" s="1"/>
      <c r="Y13" s="3"/>
      <c r="AB13" s="85">
        <v>9</v>
      </c>
      <c r="AC13" s="139">
        <v>9870934329</v>
      </c>
      <c r="AD13" s="139">
        <f>+AC13</f>
        <v>9870934329</v>
      </c>
      <c r="AE13" s="141" t="e">
        <f>#N/A</f>
        <v>#N/A</v>
      </c>
      <c r="AF13" s="141" t="e">
        <f>#N/A</f>
        <v>#N/A</v>
      </c>
      <c r="AG13" s="154">
        <v>94.55</v>
      </c>
      <c r="AQ13" s="3"/>
    </row>
    <row r="14" spans="1:49"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v>10</v>
      </c>
      <c r="AC14" s="139">
        <v>6558945207.6000004</v>
      </c>
      <c r="AD14" s="139">
        <f>+AC14*1.5</f>
        <v>9838417811.4000015</v>
      </c>
      <c r="AE14" s="141" t="e">
        <f>#N/A</f>
        <v>#N/A</v>
      </c>
      <c r="AF14" s="141" t="e">
        <f>#N/A</f>
        <v>#N/A</v>
      </c>
      <c r="AG14" s="155">
        <v>325.17500000000001</v>
      </c>
      <c r="AQ14" s="3"/>
    </row>
    <row r="15" spans="1:49" ht="96.75" customHeight="1" x14ac:dyDescent="0.2">
      <c r="A15" s="654" t="s">
        <v>1</v>
      </c>
      <c r="B15" s="656"/>
      <c r="C15" s="660"/>
      <c r="D15" s="661"/>
      <c r="E15" s="661"/>
      <c r="F15" s="662"/>
      <c r="G15" s="660"/>
      <c r="H15" s="662"/>
      <c r="I15" s="47" t="s">
        <v>257</v>
      </c>
      <c r="J15" s="47" t="s">
        <v>161</v>
      </c>
      <c r="K15" s="665"/>
      <c r="L15" s="645"/>
      <c r="M15" s="646"/>
      <c r="N15" s="646"/>
      <c r="O15" s="646"/>
      <c r="P15" s="646"/>
      <c r="Q15" s="647"/>
      <c r="T15" s="1"/>
      <c r="Y15" s="3"/>
      <c r="AB15" s="85"/>
      <c r="AC15" s="139"/>
      <c r="AD15" s="139"/>
      <c r="AE15" s="141"/>
      <c r="AM15" s="2"/>
      <c r="AR15" s="3"/>
    </row>
    <row r="16" spans="1:49" ht="36.75" customHeight="1" thickBot="1" x14ac:dyDescent="0.25">
      <c r="A16" s="77">
        <f>+A6</f>
        <v>4</v>
      </c>
      <c r="B16" s="76" t="str">
        <f>+B6</f>
        <v>CONSORCIO CSLVC</v>
      </c>
      <c r="C16" s="648" t="str">
        <f>+C6</f>
        <v>%</v>
      </c>
      <c r="D16" s="649"/>
      <c r="E16" s="650" t="str">
        <f>+E6</f>
        <v>Condición integrante</v>
      </c>
      <c r="F16" s="651"/>
      <c r="G16" s="805"/>
      <c r="H16" s="806"/>
      <c r="I16" s="93"/>
      <c r="J16" s="76" t="str">
        <f>IF(AND(J17="N. A.",J18="N. A.",J19="N. A.",J20="N. A."),"N. A.",IF(AS8&gt;=1,"HABIL","NO HABIL"))</f>
        <v>HABIL</v>
      </c>
      <c r="K16" s="78"/>
      <c r="L16" s="641"/>
      <c r="M16" s="642"/>
      <c r="N16" s="642"/>
      <c r="O16" s="642"/>
      <c r="P16" s="642"/>
      <c r="Q16" s="643"/>
      <c r="T16" s="1"/>
      <c r="Y16" s="3"/>
      <c r="AM16" s="2"/>
      <c r="AR16" s="3"/>
    </row>
    <row r="17" spans="1:45" ht="31.5" customHeight="1" thickTop="1" x14ac:dyDescent="0.2">
      <c r="A17" s="95" t="str">
        <f>+A7</f>
        <v>4A</v>
      </c>
      <c r="B17" s="96" t="str">
        <f t="shared" ref="B17:C19" si="0">+B7</f>
        <v>CONSULTOR DE INGENIERA CIVIL SA</v>
      </c>
      <c r="C17" s="637">
        <f t="shared" si="0"/>
        <v>0.6</v>
      </c>
      <c r="D17" s="638"/>
      <c r="E17" s="638" t="str">
        <f>+E7</f>
        <v>LIDER</v>
      </c>
      <c r="F17" s="638"/>
      <c r="G17" s="652" t="s">
        <v>77</v>
      </c>
      <c r="H17" s="638"/>
      <c r="I17" s="223">
        <v>27</v>
      </c>
      <c r="J17" s="167" t="str">
        <f>IF(B7="","N. A.",IF(AND(G7="O",I17&gt;=10),"HABIL",IF(AND(G7="O",I17&lt;10),"NO HABIL","N. A.")))</f>
        <v>HABIL</v>
      </c>
      <c r="K17" s="222">
        <v>124</v>
      </c>
      <c r="L17" s="641" t="s">
        <v>445</v>
      </c>
      <c r="M17" s="642"/>
      <c r="N17" s="642"/>
      <c r="O17" s="642"/>
      <c r="P17" s="642"/>
      <c r="Q17" s="643"/>
      <c r="T17" s="1"/>
      <c r="Y17" s="3"/>
      <c r="AM17" s="2"/>
      <c r="AR17" s="3"/>
    </row>
    <row r="18" spans="1:45" ht="39" customHeight="1" x14ac:dyDescent="0.2">
      <c r="A18" s="98" t="str">
        <f>+A8</f>
        <v>4B</v>
      </c>
      <c r="B18" s="99" t="str">
        <f t="shared" si="0"/>
        <v>SILVA CARREÑO &amp; ASOCIADOS SAS</v>
      </c>
      <c r="C18" s="759">
        <f t="shared" si="0"/>
        <v>0.15</v>
      </c>
      <c r="D18" s="639"/>
      <c r="E18" s="639" t="str">
        <f>+E8</f>
        <v>NO LIDER</v>
      </c>
      <c r="F18" s="639"/>
      <c r="G18" s="640" t="s">
        <v>77</v>
      </c>
      <c r="H18" s="639"/>
      <c r="I18" s="223">
        <v>31.40315</v>
      </c>
      <c r="J18" s="46" t="str">
        <f>IF(B8="","N. A.",IF(AND(G8="O",I18&gt;=10),"HABIL",IF(AND(G8="O",I18&lt;10),"NO HABIL","N. A.")))</f>
        <v>HABIL</v>
      </c>
      <c r="K18" s="224">
        <v>30</v>
      </c>
      <c r="L18" s="641"/>
      <c r="M18" s="642"/>
      <c r="N18" s="642"/>
      <c r="O18" s="642"/>
      <c r="P18" s="642"/>
      <c r="Q18" s="643"/>
      <c r="T18" s="1"/>
      <c r="Y18" s="3"/>
      <c r="AM18" s="2"/>
      <c r="AR18" s="3"/>
    </row>
    <row r="19" spans="1:45" ht="27.75" customHeight="1" x14ac:dyDescent="0.2">
      <c r="A19" s="98" t="str">
        <f>+A9</f>
        <v>4C</v>
      </c>
      <c r="B19" s="99" t="str">
        <f t="shared" si="0"/>
        <v>LA VIALIDAD LTDA</v>
      </c>
      <c r="C19" s="759">
        <f t="shared" si="0"/>
        <v>0.15</v>
      </c>
      <c r="D19" s="639"/>
      <c r="E19" s="639" t="str">
        <f>+E9</f>
        <v>NO LIDER</v>
      </c>
      <c r="F19" s="639"/>
      <c r="G19" s="640" t="s">
        <v>77</v>
      </c>
      <c r="H19" s="639"/>
      <c r="I19" s="223">
        <v>57.445590000000003</v>
      </c>
      <c r="J19" s="46" t="str">
        <f>IF(B9="","N. A.",IF(AND(G9="O",I19&gt;=10),"HABIL",IF(AND(G9="O",I19&lt;10),"NO HABIL","N. A.")))</f>
        <v>HABIL</v>
      </c>
      <c r="K19" s="224">
        <v>40</v>
      </c>
      <c r="L19" s="641"/>
      <c r="M19" s="642"/>
      <c r="N19" s="642"/>
      <c r="O19" s="642"/>
      <c r="P19" s="642"/>
      <c r="Q19" s="643"/>
      <c r="T19" s="1"/>
      <c r="Y19" s="3"/>
      <c r="AM19" s="2"/>
      <c r="AR19" s="3"/>
    </row>
    <row r="20" spans="1:45" ht="29.25" customHeight="1" thickBot="1" x14ac:dyDescent="0.25">
      <c r="A20" s="100" t="str">
        <f>+A10</f>
        <v>4D</v>
      </c>
      <c r="B20" s="101" t="str">
        <f>+B10</f>
        <v>JOSE WILMER CHILITO RIVADENEIRA</v>
      </c>
      <c r="C20" s="627">
        <f>+C10</f>
        <v>0.1</v>
      </c>
      <c r="D20" s="628"/>
      <c r="E20" s="628" t="str">
        <f>+E10</f>
        <v>NO LIDER</v>
      </c>
      <c r="F20" s="628"/>
      <c r="G20" s="629" t="s">
        <v>77</v>
      </c>
      <c r="H20" s="628"/>
      <c r="I20" s="225">
        <v>15.06</v>
      </c>
      <c r="J20" s="75" t="str">
        <f>IF(B10="","N. A.",IF(AND(G10="O",I20&gt;=10),"HABIL",IF(AND(G10="O",I20&lt;10),"NO HABIL","N. A.")))</f>
        <v>HABIL</v>
      </c>
      <c r="K20" s="226">
        <v>48</v>
      </c>
      <c r="L20" s="630"/>
      <c r="M20" s="631"/>
      <c r="N20" s="631"/>
      <c r="O20" s="631"/>
      <c r="P20" s="631"/>
      <c r="Q20" s="632"/>
      <c r="T20" s="1"/>
      <c r="Y20" s="3"/>
      <c r="AM20" s="2"/>
      <c r="AR20" s="3"/>
    </row>
    <row r="21" spans="1:45" ht="29.25" customHeight="1" x14ac:dyDescent="0.2">
      <c r="A21" s="123"/>
      <c r="B21" s="124"/>
      <c r="C21" s="125"/>
      <c r="D21" s="123"/>
      <c r="E21" s="123"/>
      <c r="F21" s="123"/>
      <c r="G21" s="126"/>
      <c r="H21" s="123"/>
      <c r="I21" s="128"/>
      <c r="J21" s="129"/>
      <c r="K21" s="130"/>
      <c r="L21" s="127"/>
      <c r="M21" s="127"/>
      <c r="N21" s="127"/>
      <c r="O21" s="127"/>
      <c r="P21" s="127"/>
      <c r="Q21" s="127"/>
      <c r="T21" s="1"/>
      <c r="Y21" s="3"/>
      <c r="AM21" s="2"/>
      <c r="AR21" s="3"/>
    </row>
    <row r="22" spans="1:45" ht="16.5" thickBot="1" x14ac:dyDescent="0.25">
      <c r="A22" s="74" t="s">
        <v>213</v>
      </c>
      <c r="T22" s="1"/>
      <c r="Y22" s="3"/>
      <c r="AA22" s="113"/>
      <c r="AB22" s="113"/>
      <c r="AC22" s="113"/>
      <c r="AD22" s="113"/>
      <c r="AE22" s="113"/>
      <c r="AF22" s="113"/>
      <c r="AM22" s="2"/>
      <c r="AR22" s="3"/>
    </row>
    <row r="23" spans="1:45" ht="107.25" customHeight="1" x14ac:dyDescent="0.2">
      <c r="A23" s="633" t="s">
        <v>112</v>
      </c>
      <c r="B23" s="634"/>
      <c r="C23" s="635" t="s">
        <v>113</v>
      </c>
      <c r="D23" s="634"/>
      <c r="E23" s="635" t="s">
        <v>70</v>
      </c>
      <c r="F23" s="634"/>
      <c r="G23" s="619" t="s">
        <v>114</v>
      </c>
      <c r="H23" s="620"/>
      <c r="I23" s="620"/>
      <c r="J23" s="620"/>
      <c r="K23" s="636"/>
      <c r="L23" s="121" t="s">
        <v>115</v>
      </c>
      <c r="M23" s="121" t="s">
        <v>126</v>
      </c>
      <c r="N23" s="121" t="s">
        <v>117</v>
      </c>
      <c r="O23" s="121" t="s">
        <v>118</v>
      </c>
      <c r="P23" s="277" t="s">
        <v>127</v>
      </c>
      <c r="Q23" s="121" t="s">
        <v>106</v>
      </c>
      <c r="R23" s="619" t="s">
        <v>2</v>
      </c>
      <c r="S23" s="620"/>
      <c r="T23" s="620"/>
      <c r="U23" s="620"/>
      <c r="V23" s="620"/>
      <c r="W23" s="620"/>
      <c r="X23" s="620"/>
      <c r="Y23" s="621"/>
      <c r="Z23" s="114"/>
      <c r="AA23" s="114"/>
      <c r="AB23" s="114"/>
      <c r="AC23" s="114"/>
      <c r="AD23" s="114"/>
      <c r="AE23" s="114"/>
      <c r="AF23" s="111"/>
      <c r="AG23" s="111"/>
      <c r="AH23" s="111"/>
      <c r="AI23" s="111"/>
      <c r="AJ23" s="111"/>
      <c r="AK23" s="111"/>
      <c r="AL23" s="111"/>
      <c r="AQ23" s="3"/>
    </row>
    <row r="24" spans="1:45" s="305" customFormat="1" ht="65.25" customHeight="1" x14ac:dyDescent="0.2">
      <c r="A24" s="622" t="s">
        <v>295</v>
      </c>
      <c r="B24" s="623"/>
      <c r="C24" s="741" t="str">
        <f>IFERROR(INDEX($E$7:$E$9,MATCH(A24,$B$7:$B$9,0)),"N.A.")</f>
        <v>LIDER</v>
      </c>
      <c r="D24" s="742"/>
      <c r="E24" s="741">
        <v>1</v>
      </c>
      <c r="F24" s="742"/>
      <c r="G24" s="571" t="s">
        <v>422</v>
      </c>
      <c r="H24" s="572"/>
      <c r="I24" s="572"/>
      <c r="J24" s="572"/>
      <c r="K24" s="573"/>
      <c r="L24" s="182" t="s">
        <v>426</v>
      </c>
      <c r="M24" s="253" t="s">
        <v>78</v>
      </c>
      <c r="N24" s="185">
        <v>39722</v>
      </c>
      <c r="O24" s="185">
        <v>40817</v>
      </c>
      <c r="P24" s="755" t="s">
        <v>122</v>
      </c>
      <c r="Q24" s="181" t="s">
        <v>428</v>
      </c>
      <c r="R24" s="565"/>
      <c r="S24" s="566"/>
      <c r="T24" s="566"/>
      <c r="U24" s="566"/>
      <c r="V24" s="566"/>
      <c r="W24" s="566"/>
      <c r="X24" s="566"/>
      <c r="Y24" s="567"/>
      <c r="Z24" s="309"/>
      <c r="AA24" s="309"/>
      <c r="AB24" s="309"/>
      <c r="AC24" s="309"/>
      <c r="AD24" s="309"/>
      <c r="AE24" s="309"/>
      <c r="AF24" s="309"/>
      <c r="AG24" s="309"/>
      <c r="AH24" s="309"/>
      <c r="AI24" s="309"/>
      <c r="AJ24" s="309"/>
      <c r="AK24" s="309"/>
      <c r="AL24" s="309"/>
      <c r="AN24" s="305">
        <f>IF(C24="MAP",IF(M24&gt;=30%,#REF!,#REF!*M24),0)</f>
        <v>0</v>
      </c>
      <c r="AO24" s="305">
        <f>SUM(AN24:AN27)</f>
        <v>0</v>
      </c>
      <c r="AQ24" s="310"/>
    </row>
    <row r="25" spans="1:45" s="305" customFormat="1" ht="54" customHeight="1" x14ac:dyDescent="0.2">
      <c r="A25" s="622" t="s">
        <v>297</v>
      </c>
      <c r="B25" s="623"/>
      <c r="C25" s="741" t="str">
        <f>IFERROR(INDEX($E$7:$E$9,MATCH(A25,$B$7:$B$9,0)),"N.A.")</f>
        <v>NO LIDER</v>
      </c>
      <c r="D25" s="742"/>
      <c r="E25" s="741">
        <v>2</v>
      </c>
      <c r="F25" s="742"/>
      <c r="G25" s="571" t="s">
        <v>423</v>
      </c>
      <c r="H25" s="572"/>
      <c r="I25" s="572"/>
      <c r="J25" s="572"/>
      <c r="K25" s="573"/>
      <c r="L25" s="182" t="s">
        <v>227</v>
      </c>
      <c r="M25" s="312" t="s">
        <v>78</v>
      </c>
      <c r="N25" s="185">
        <v>37185</v>
      </c>
      <c r="O25" s="185">
        <v>38373</v>
      </c>
      <c r="P25" s="557"/>
      <c r="Q25" s="193" t="s">
        <v>443</v>
      </c>
      <c r="R25" s="737"/>
      <c r="S25" s="738"/>
      <c r="T25" s="738"/>
      <c r="U25" s="738"/>
      <c r="V25" s="738"/>
      <c r="W25" s="738"/>
      <c r="X25" s="738"/>
      <c r="Y25" s="739"/>
      <c r="Z25" s="309"/>
      <c r="AA25" s="309"/>
      <c r="AB25" s="309"/>
      <c r="AC25" s="309"/>
      <c r="AD25" s="309"/>
      <c r="AE25" s="309"/>
      <c r="AF25" s="309"/>
      <c r="AG25" s="309"/>
      <c r="AH25" s="309"/>
      <c r="AI25" s="309"/>
      <c r="AJ25" s="309"/>
      <c r="AK25" s="309"/>
      <c r="AL25" s="309"/>
      <c r="AQ25" s="310"/>
    </row>
    <row r="26" spans="1:45" ht="68.25" customHeight="1" x14ac:dyDescent="0.2">
      <c r="A26" s="588" t="s">
        <v>296</v>
      </c>
      <c r="B26" s="589"/>
      <c r="C26" s="531" t="str">
        <f>IFERROR(INDEX($E$7:$E$9,MATCH(A26,$B$7:$B$9,0)),"N.A.")</f>
        <v>NO LIDER</v>
      </c>
      <c r="D26" s="532"/>
      <c r="E26" s="531">
        <v>3</v>
      </c>
      <c r="F26" s="532"/>
      <c r="G26" s="571" t="s">
        <v>424</v>
      </c>
      <c r="H26" s="572"/>
      <c r="I26" s="572"/>
      <c r="J26" s="572"/>
      <c r="K26" s="573"/>
      <c r="L26" s="182" t="s">
        <v>427</v>
      </c>
      <c r="M26" s="197" t="s">
        <v>78</v>
      </c>
      <c r="N26" s="185">
        <v>36992</v>
      </c>
      <c r="O26" s="185">
        <v>37636</v>
      </c>
      <c r="P26" s="557"/>
      <c r="Q26" s="181" t="s">
        <v>429</v>
      </c>
      <c r="R26" s="828"/>
      <c r="S26" s="829"/>
      <c r="T26" s="829"/>
      <c r="U26" s="829"/>
      <c r="V26" s="829"/>
      <c r="W26" s="829"/>
      <c r="X26" s="829"/>
      <c r="Y26" s="830"/>
      <c r="Z26" s="112"/>
      <c r="AA26" s="112"/>
      <c r="AB26" s="112"/>
      <c r="AC26" s="112"/>
      <c r="AD26" s="112"/>
      <c r="AE26" s="112"/>
      <c r="AF26" s="112"/>
      <c r="AG26" s="112"/>
      <c r="AH26" s="112"/>
      <c r="AI26" s="112"/>
      <c r="AJ26" s="112"/>
      <c r="AK26" s="112"/>
      <c r="AL26" s="112"/>
      <c r="AQ26" s="3"/>
    </row>
    <row r="27" spans="1:45" ht="68.25" customHeight="1" thickBot="1" x14ac:dyDescent="0.25">
      <c r="A27" s="606" t="s">
        <v>298</v>
      </c>
      <c r="B27" s="607"/>
      <c r="C27" s="613" t="str">
        <f>IFERROR(INDEX($E$7:$E$10,MATCH(A27,$B$7:$B$10,0)),"N.A.")</f>
        <v>NO LIDER</v>
      </c>
      <c r="D27" s="614"/>
      <c r="E27" s="613">
        <v>4</v>
      </c>
      <c r="F27" s="614"/>
      <c r="G27" s="597" t="s">
        <v>425</v>
      </c>
      <c r="H27" s="598"/>
      <c r="I27" s="598"/>
      <c r="J27" s="598"/>
      <c r="K27" s="599"/>
      <c r="L27" s="182" t="s">
        <v>427</v>
      </c>
      <c r="M27" s="330" t="s">
        <v>78</v>
      </c>
      <c r="N27" s="187">
        <v>40087</v>
      </c>
      <c r="O27" s="187">
        <v>40178</v>
      </c>
      <c r="P27" s="558"/>
      <c r="Q27" s="196" t="s">
        <v>430</v>
      </c>
      <c r="R27" s="831"/>
      <c r="S27" s="832"/>
      <c r="T27" s="832"/>
      <c r="U27" s="832"/>
      <c r="V27" s="832"/>
      <c r="W27" s="832"/>
      <c r="X27" s="832"/>
      <c r="Y27" s="833"/>
      <c r="Z27" s="112"/>
      <c r="AA27" s="112"/>
      <c r="AB27" s="112"/>
      <c r="AC27" s="112"/>
      <c r="AD27" s="112"/>
      <c r="AE27" s="112"/>
      <c r="AF27" s="112"/>
      <c r="AG27" s="112"/>
      <c r="AH27" s="112"/>
      <c r="AI27" s="112"/>
      <c r="AJ27" s="112"/>
      <c r="AK27" s="112"/>
      <c r="AL27" s="112"/>
      <c r="AQ27" s="3"/>
    </row>
    <row r="28" spans="1:45" ht="24" customHeight="1" x14ac:dyDescent="0.2">
      <c r="T28" s="1"/>
      <c r="U28" s="1"/>
      <c r="Y28" s="3"/>
      <c r="Z28" s="3"/>
      <c r="AM28" s="2"/>
      <c r="AN28" s="2"/>
      <c r="AS28" s="3"/>
    </row>
    <row r="29" spans="1:45" x14ac:dyDescent="0.2">
      <c r="T29" s="1"/>
      <c r="Y29" s="3"/>
      <c r="AM29" s="2"/>
    </row>
    <row r="30" spans="1:45" ht="16.5" thickBot="1" x14ac:dyDescent="0.25">
      <c r="A30" s="74" t="s">
        <v>214</v>
      </c>
      <c r="T30" s="1"/>
      <c r="Y30" s="3"/>
      <c r="AA30" s="113"/>
      <c r="AB30" s="113"/>
      <c r="AC30" s="113"/>
      <c r="AD30" s="113"/>
      <c r="AE30" s="113"/>
      <c r="AF30" s="113"/>
      <c r="AM30" s="2"/>
      <c r="AR30" s="3"/>
    </row>
    <row r="31" spans="1:45" ht="114" customHeight="1" x14ac:dyDescent="0.2">
      <c r="A31" s="615" t="s">
        <v>112</v>
      </c>
      <c r="B31" s="541"/>
      <c r="C31" s="539" t="s">
        <v>113</v>
      </c>
      <c r="D31" s="541"/>
      <c r="E31" s="539" t="s">
        <v>70</v>
      </c>
      <c r="F31" s="541"/>
      <c r="G31" s="608" t="s">
        <v>114</v>
      </c>
      <c r="H31" s="609"/>
      <c r="I31" s="609"/>
      <c r="J31" s="609"/>
      <c r="K31" s="758"/>
      <c r="L31" s="137" t="s">
        <v>128</v>
      </c>
      <c r="M31" s="136" t="s">
        <v>115</v>
      </c>
      <c r="N31" s="121" t="s">
        <v>117</v>
      </c>
      <c r="O31" s="121" t="s">
        <v>118</v>
      </c>
      <c r="P31" s="121" t="s">
        <v>116</v>
      </c>
      <c r="Q31" s="121" t="s">
        <v>119</v>
      </c>
      <c r="R31" s="279" t="s">
        <v>189</v>
      </c>
      <c r="S31" s="279" t="s">
        <v>243</v>
      </c>
      <c r="T31" s="121" t="s">
        <v>106</v>
      </c>
      <c r="U31" s="619" t="s">
        <v>2</v>
      </c>
      <c r="V31" s="620"/>
      <c r="W31" s="620"/>
      <c r="X31" s="620"/>
      <c r="Y31" s="620"/>
      <c r="Z31" s="620"/>
      <c r="AA31" s="621"/>
      <c r="AB31" s="114"/>
      <c r="AC31" s="114"/>
      <c r="AD31" s="114"/>
      <c r="AE31" s="114"/>
      <c r="AF31" s="111"/>
      <c r="AG31" s="111"/>
      <c r="AH31" s="111"/>
      <c r="AI31" s="111"/>
      <c r="AJ31" s="111"/>
      <c r="AK31" s="111"/>
      <c r="AL31" s="111"/>
      <c r="AQ31" s="3"/>
    </row>
    <row r="32" spans="1:45" ht="66" customHeight="1" x14ac:dyDescent="0.2">
      <c r="A32" s="588" t="s">
        <v>295</v>
      </c>
      <c r="B32" s="589"/>
      <c r="C32" s="531" t="str">
        <f>IFERROR(INDEX($E$7:$E$9,MATCH(A32,$B$7:$B$9,0)),"N.A.")</f>
        <v>LIDER</v>
      </c>
      <c r="D32" s="532"/>
      <c r="E32" s="531">
        <v>1</v>
      </c>
      <c r="F32" s="532"/>
      <c r="G32" s="571" t="s">
        <v>422</v>
      </c>
      <c r="H32" s="572"/>
      <c r="I32" s="572"/>
      <c r="J32" s="572"/>
      <c r="K32" s="573"/>
      <c r="L32" s="220" t="s">
        <v>222</v>
      </c>
      <c r="M32" s="182" t="s">
        <v>426</v>
      </c>
      <c r="N32" s="185">
        <v>39722</v>
      </c>
      <c r="O32" s="185">
        <v>40817</v>
      </c>
      <c r="P32" s="192">
        <v>0.5</v>
      </c>
      <c r="Q32" s="163">
        <f>2360600*1.4098*2184.76/461500</f>
        <v>15754.765360929146</v>
      </c>
      <c r="R32" s="281" t="str">
        <f>IF(((Q32)&gt;='Calificación Técnica'!$E$18),"HABIL",IF(((Q32)&lt;'Calificación Técnica'!$E$18),"NO HABIL",))</f>
        <v>HABIL</v>
      </c>
      <c r="S32" s="755" t="str">
        <f>IF(($Q$32+$Q$33)&gt;='Calificación Técnica'!E14*0.6,IF(($Q$34+Q35+Q36+$Q$37)&gt;='Calificación Técnica'!E14*0.4,"HABIL","NO HABIL"))</f>
        <v>HABIL</v>
      </c>
      <c r="T32" s="181" t="s">
        <v>428</v>
      </c>
      <c r="U32" s="565"/>
      <c r="V32" s="566"/>
      <c r="W32" s="566"/>
      <c r="X32" s="566"/>
      <c r="Y32" s="566"/>
      <c r="Z32" s="566"/>
      <c r="AA32" s="567"/>
      <c r="AB32" s="112"/>
      <c r="AC32" s="112"/>
      <c r="AD32" s="112"/>
      <c r="AE32" s="112"/>
      <c r="AF32" s="112"/>
      <c r="AG32" s="112"/>
      <c r="AH32" s="112"/>
      <c r="AI32" s="112"/>
      <c r="AJ32" s="112"/>
      <c r="AK32" s="112"/>
      <c r="AL32" s="112"/>
      <c r="AM32" s="112"/>
      <c r="AN32" s="112"/>
      <c r="AP32" s="1">
        <f>IF(C32="MAP",IF(N32&gt;=30%,#REF!,#REF!*N32),0)</f>
        <v>0</v>
      </c>
      <c r="AQ32" s="1">
        <f>SUM(AP32:AP37)</f>
        <v>0</v>
      </c>
      <c r="AS32" s="3"/>
    </row>
    <row r="33" spans="1:49" ht="53.25" customHeight="1" x14ac:dyDescent="0.2">
      <c r="A33" s="588" t="s">
        <v>295</v>
      </c>
      <c r="B33" s="589"/>
      <c r="C33" s="531" t="str">
        <f>IFERROR(INDEX($E$7:$E$9,MATCH(A33,$B$7:$B$9,0)),"N.A.")</f>
        <v>LIDER</v>
      </c>
      <c r="D33" s="532"/>
      <c r="E33" s="531">
        <v>2</v>
      </c>
      <c r="F33" s="532"/>
      <c r="G33" s="571" t="s">
        <v>431</v>
      </c>
      <c r="H33" s="572"/>
      <c r="I33" s="572"/>
      <c r="J33" s="572"/>
      <c r="K33" s="573"/>
      <c r="L33" s="220" t="s">
        <v>222</v>
      </c>
      <c r="M33" s="182" t="s">
        <v>432</v>
      </c>
      <c r="N33" s="185">
        <v>38877</v>
      </c>
      <c r="O33" s="185">
        <v>39933</v>
      </c>
      <c r="P33" s="192">
        <v>1</v>
      </c>
      <c r="Q33" s="163">
        <f>479319.77*1.265*2511.34/408000</f>
        <v>3732.1682908275175</v>
      </c>
      <c r="R33" s="281" t="str">
        <f>IF(((Q33)&gt;='Calificación Técnica'!$E$18),"HABIL",IF(((Q33)&lt;'Calificación Técnica'!$E$18),"NO HABIL",))</f>
        <v>HABIL</v>
      </c>
      <c r="S33" s="557"/>
      <c r="T33" s="193" t="s">
        <v>434</v>
      </c>
      <c r="U33" s="565"/>
      <c r="V33" s="566"/>
      <c r="W33" s="566"/>
      <c r="X33" s="566"/>
      <c r="Y33" s="566"/>
      <c r="Z33" s="566"/>
      <c r="AA33" s="567"/>
      <c r="AB33" s="112"/>
      <c r="AC33" s="112"/>
      <c r="AD33" s="112"/>
      <c r="AE33" s="112"/>
      <c r="AF33" s="112"/>
      <c r="AG33" s="112"/>
      <c r="AH33" s="112"/>
      <c r="AI33" s="112"/>
      <c r="AJ33" s="112"/>
      <c r="AK33" s="112"/>
      <c r="AL33" s="112"/>
      <c r="AM33" s="112"/>
      <c r="AN33" s="112"/>
      <c r="AP33" s="1">
        <f>IF(C33="MAP",IF(N33&gt;=30%,#REF!,#REF!*N33),0)</f>
        <v>0</v>
      </c>
      <c r="AS33" s="3"/>
    </row>
    <row r="34" spans="1:49" s="259" customFormat="1" ht="72" customHeight="1" x14ac:dyDescent="0.2">
      <c r="A34" s="588" t="s">
        <v>297</v>
      </c>
      <c r="B34" s="589"/>
      <c r="C34" s="531" t="str">
        <f>IFERROR(INDEX($E$7:$E$9,MATCH(A34,$B$7:$B$9,0)),"N.A.")</f>
        <v>NO LIDER</v>
      </c>
      <c r="D34" s="532"/>
      <c r="E34" s="531">
        <v>1</v>
      </c>
      <c r="F34" s="532"/>
      <c r="G34" s="571" t="s">
        <v>423</v>
      </c>
      <c r="H34" s="572"/>
      <c r="I34" s="572"/>
      <c r="J34" s="572"/>
      <c r="K34" s="573"/>
      <c r="L34" s="220" t="s">
        <v>133</v>
      </c>
      <c r="M34" s="182" t="s">
        <v>227</v>
      </c>
      <c r="N34" s="185">
        <v>37185</v>
      </c>
      <c r="O34" s="185">
        <v>38373</v>
      </c>
      <c r="P34" s="192">
        <v>0.34</v>
      </c>
      <c r="Q34" s="163">
        <f>3736074314/286000</f>
        <v>13063.196902097901</v>
      </c>
      <c r="R34" s="328" t="s">
        <v>108</v>
      </c>
      <c r="S34" s="557"/>
      <c r="T34" s="181" t="s">
        <v>435</v>
      </c>
      <c r="U34" s="565"/>
      <c r="V34" s="566"/>
      <c r="W34" s="566"/>
      <c r="X34" s="566"/>
      <c r="Y34" s="566"/>
      <c r="Z34" s="566"/>
      <c r="AA34" s="567"/>
      <c r="AB34" s="258"/>
      <c r="AC34" s="258"/>
      <c r="AD34" s="258"/>
      <c r="AE34" s="258"/>
      <c r="AF34" s="258"/>
      <c r="AG34" s="258"/>
      <c r="AH34" s="258"/>
      <c r="AI34" s="258"/>
      <c r="AJ34" s="258"/>
      <c r="AK34" s="258"/>
      <c r="AL34" s="258"/>
      <c r="AM34" s="258"/>
      <c r="AN34" s="258"/>
      <c r="AP34" s="259">
        <f>IF(C34="MAP",IF(N34&gt;=30%,#REF!,#REF!*N34),0)</f>
        <v>0</v>
      </c>
      <c r="AS34" s="260"/>
    </row>
    <row r="35" spans="1:49" s="259" customFormat="1" ht="72" customHeight="1" x14ac:dyDescent="0.2">
      <c r="A35" s="588" t="s">
        <v>297</v>
      </c>
      <c r="B35" s="589"/>
      <c r="C35" s="531" t="str">
        <f>IFERROR(INDEX($E$7:$E$9,MATCH(A35,$B$7:$B$9,0)),"N.A.")</f>
        <v>NO LIDER</v>
      </c>
      <c r="D35" s="532"/>
      <c r="E35" s="531">
        <v>2</v>
      </c>
      <c r="F35" s="532"/>
      <c r="G35" s="571" t="s">
        <v>433</v>
      </c>
      <c r="H35" s="572"/>
      <c r="I35" s="572"/>
      <c r="J35" s="572"/>
      <c r="K35" s="573"/>
      <c r="L35" s="220" t="s">
        <v>133</v>
      </c>
      <c r="M35" s="182" t="s">
        <v>227</v>
      </c>
      <c r="N35" s="185">
        <v>36517</v>
      </c>
      <c r="O35" s="185">
        <v>38570</v>
      </c>
      <c r="P35" s="192">
        <v>0.5</v>
      </c>
      <c r="Q35" s="163">
        <f>1759387600/236460</f>
        <v>7440.5294764442187</v>
      </c>
      <c r="R35" s="328" t="s">
        <v>108</v>
      </c>
      <c r="S35" s="557"/>
      <c r="T35" s="181" t="s">
        <v>436</v>
      </c>
      <c r="U35" s="565"/>
      <c r="V35" s="566"/>
      <c r="W35" s="566"/>
      <c r="X35" s="566"/>
      <c r="Y35" s="566"/>
      <c r="Z35" s="566"/>
      <c r="AA35" s="567"/>
      <c r="AB35" s="258"/>
      <c r="AC35" s="258"/>
      <c r="AD35" s="258"/>
      <c r="AE35" s="258"/>
      <c r="AF35" s="258"/>
      <c r="AG35" s="258"/>
      <c r="AH35" s="258"/>
      <c r="AI35" s="258"/>
      <c r="AJ35" s="258"/>
      <c r="AK35" s="258"/>
      <c r="AL35" s="258"/>
      <c r="AM35" s="258"/>
      <c r="AN35" s="258"/>
      <c r="AP35" s="259">
        <f>IF(C35="MAP",IF(N35&gt;=30%,#REF!,#REF!*N35),0)</f>
        <v>0</v>
      </c>
      <c r="AS35" s="260"/>
    </row>
    <row r="36" spans="1:49" s="259" customFormat="1" ht="72" customHeight="1" x14ac:dyDescent="0.2">
      <c r="A36" s="588" t="s">
        <v>296</v>
      </c>
      <c r="B36" s="589"/>
      <c r="C36" s="531" t="str">
        <f>IFERROR(INDEX($E$7:$E$10,MATCH(A36,$B$7:$B109,0)),"N.A.")</f>
        <v>NO LIDER</v>
      </c>
      <c r="D36" s="532"/>
      <c r="E36" s="531">
        <v>3</v>
      </c>
      <c r="F36" s="532"/>
      <c r="G36" s="571" t="s">
        <v>424</v>
      </c>
      <c r="H36" s="572"/>
      <c r="I36" s="572"/>
      <c r="J36" s="572"/>
      <c r="K36" s="573"/>
      <c r="L36" s="220" t="s">
        <v>133</v>
      </c>
      <c r="M36" s="182" t="s">
        <v>427</v>
      </c>
      <c r="N36" s="185">
        <v>36992</v>
      </c>
      <c r="O36" s="185">
        <v>37636</v>
      </c>
      <c r="P36" s="192">
        <v>1</v>
      </c>
      <c r="Q36" s="163">
        <f>1135751411/286000</f>
        <v>3971.1587797202797</v>
      </c>
      <c r="R36" s="328" t="s">
        <v>108</v>
      </c>
      <c r="S36" s="557"/>
      <c r="T36" s="181" t="s">
        <v>429</v>
      </c>
      <c r="U36" s="565"/>
      <c r="V36" s="566"/>
      <c r="W36" s="566"/>
      <c r="X36" s="566"/>
      <c r="Y36" s="566"/>
      <c r="Z36" s="566"/>
      <c r="AA36" s="567"/>
      <c r="AB36" s="258"/>
      <c r="AC36" s="258"/>
      <c r="AD36" s="258"/>
      <c r="AE36" s="258"/>
      <c r="AF36" s="258"/>
      <c r="AG36" s="258"/>
      <c r="AH36" s="258"/>
      <c r="AI36" s="258"/>
      <c r="AJ36" s="258"/>
      <c r="AK36" s="258"/>
      <c r="AL36" s="258"/>
      <c r="AM36" s="258"/>
      <c r="AN36" s="258"/>
      <c r="AP36" s="259">
        <f>IF(C36="MAP",IF(N36&gt;=30%,#REF!,#REF!*N36),0)</f>
        <v>0</v>
      </c>
      <c r="AS36" s="260"/>
    </row>
    <row r="37" spans="1:49" s="259" customFormat="1" ht="66.75" customHeight="1" thickBot="1" x14ac:dyDescent="0.25">
      <c r="A37" s="606" t="s">
        <v>298</v>
      </c>
      <c r="B37" s="607"/>
      <c r="C37" s="586" t="str">
        <f>IFERROR(INDEX($E$7:$E$10,MATCH(A37,$B$7:$B$10,0)),"N.A.")</f>
        <v>NO LIDER</v>
      </c>
      <c r="D37" s="587"/>
      <c r="E37" s="586">
        <v>4</v>
      </c>
      <c r="F37" s="587"/>
      <c r="G37" s="597" t="s">
        <v>425</v>
      </c>
      <c r="H37" s="598"/>
      <c r="I37" s="598"/>
      <c r="J37" s="598"/>
      <c r="K37" s="599"/>
      <c r="L37" s="231" t="s">
        <v>133</v>
      </c>
      <c r="M37" s="182" t="s">
        <v>427</v>
      </c>
      <c r="N37" s="187">
        <v>40087</v>
      </c>
      <c r="O37" s="187">
        <v>40178</v>
      </c>
      <c r="P37" s="232">
        <v>0.9</v>
      </c>
      <c r="Q37" s="188">
        <f>90549600/496900</f>
        <v>182.22901992352587</v>
      </c>
      <c r="R37" s="296" t="s">
        <v>108</v>
      </c>
      <c r="S37" s="558"/>
      <c r="T37" s="196" t="s">
        <v>430</v>
      </c>
      <c r="U37" s="704"/>
      <c r="V37" s="705"/>
      <c r="W37" s="705"/>
      <c r="X37" s="705"/>
      <c r="Y37" s="705"/>
      <c r="Z37" s="705"/>
      <c r="AA37" s="706"/>
      <c r="AB37" s="258"/>
      <c r="AC37" s="258"/>
      <c r="AD37" s="258"/>
      <c r="AE37" s="258"/>
      <c r="AF37" s="258"/>
      <c r="AG37" s="258"/>
      <c r="AH37" s="258"/>
      <c r="AI37" s="258"/>
      <c r="AJ37" s="258"/>
      <c r="AK37" s="258"/>
      <c r="AL37" s="258"/>
      <c r="AM37" s="258"/>
      <c r="AN37" s="258"/>
      <c r="AP37" s="259">
        <f>IF(C37="MAP",IF(N37&gt;=30%,#REF!,#REF!*N37),0)</f>
        <v>0</v>
      </c>
      <c r="AS37" s="260"/>
    </row>
    <row r="38" spans="1:49" x14ac:dyDescent="0.2">
      <c r="Q38" s="300">
        <f>SUM(Q30:Q37)</f>
        <v>44144.047829942589</v>
      </c>
      <c r="R38" s="285" t="str">
        <f>IF(B4="","N. A.",IF((Q38&gt;='Calificación Técnica'!E14),"CUMPLE",IF((Q38&lt;'Calificación Técnica'!E14),"NO CUMPLE","N. A.")))</f>
        <v>CUMPLE</v>
      </c>
    </row>
    <row r="39" spans="1:49" ht="15.75" x14ac:dyDescent="0.2">
      <c r="R39" s="286"/>
    </row>
    <row r="40" spans="1:49" ht="25.5" x14ac:dyDescent="0.2">
      <c r="A40" s="90" t="s">
        <v>145</v>
      </c>
      <c r="T40" s="1"/>
      <c r="U40" s="1"/>
      <c r="Y40" s="3"/>
      <c r="Z40" s="3"/>
      <c r="AM40" s="2"/>
      <c r="AN40" s="2"/>
      <c r="AO40" s="2"/>
      <c r="AP40" s="2"/>
      <c r="AQ40" s="2"/>
      <c r="AR40" s="2"/>
      <c r="AS40" s="2"/>
      <c r="AT40" s="2"/>
      <c r="AU40" s="2"/>
      <c r="AV40" s="2"/>
    </row>
    <row r="41" spans="1:49" ht="16.5" thickBot="1" x14ac:dyDescent="0.25">
      <c r="A41" s="74" t="s">
        <v>220</v>
      </c>
      <c r="T41" s="1"/>
      <c r="U41" s="1"/>
      <c r="V41" s="1"/>
      <c r="Y41" s="3"/>
      <c r="Z41" s="3"/>
      <c r="AA41" s="3"/>
      <c r="AM41" s="2"/>
      <c r="AN41" s="2"/>
      <c r="AO41" s="2"/>
      <c r="AP41" s="2"/>
      <c r="AQ41" s="2"/>
      <c r="AR41" s="2"/>
      <c r="AS41" s="2"/>
      <c r="AT41" s="2"/>
      <c r="AU41" s="2"/>
      <c r="AV41" s="2"/>
      <c r="AW41" s="2"/>
    </row>
    <row r="42" spans="1:49" ht="38.25" customHeight="1" x14ac:dyDescent="0.2">
      <c r="A42" s="592" t="s">
        <v>112</v>
      </c>
      <c r="B42" s="559"/>
      <c r="C42" s="559" t="s">
        <v>113</v>
      </c>
      <c r="D42" s="559"/>
      <c r="E42" s="559" t="s">
        <v>70</v>
      </c>
      <c r="F42" s="559"/>
      <c r="G42" s="562" t="s">
        <v>114</v>
      </c>
      <c r="H42" s="562"/>
      <c r="I42" s="562"/>
      <c r="J42" s="562"/>
      <c r="K42" s="562"/>
      <c r="L42" s="562"/>
      <c r="M42" s="562"/>
      <c r="N42" s="559" t="s">
        <v>115</v>
      </c>
      <c r="O42" s="559" t="s">
        <v>116</v>
      </c>
      <c r="P42" s="559" t="s">
        <v>117</v>
      </c>
      <c r="Q42" s="559" t="s">
        <v>118</v>
      </c>
      <c r="R42" s="559" t="s">
        <v>119</v>
      </c>
      <c r="S42" s="559" t="s">
        <v>139</v>
      </c>
      <c r="T42" s="554" t="s">
        <v>191</v>
      </c>
      <c r="U42" s="539" t="s">
        <v>192</v>
      </c>
      <c r="V42" s="540"/>
      <c r="W42" s="541"/>
      <c r="X42" s="720" t="s">
        <v>194</v>
      </c>
      <c r="Y42" s="720" t="s">
        <v>106</v>
      </c>
      <c r="Z42" s="533">
        <v>12</v>
      </c>
      <c r="AA42" s="533"/>
      <c r="AB42" s="533"/>
      <c r="AC42" s="533"/>
      <c r="AD42" s="533"/>
      <c r="AE42" s="533"/>
      <c r="AF42" s="533"/>
      <c r="AG42" s="533"/>
      <c r="AH42" s="533"/>
      <c r="AI42" s="534"/>
      <c r="AJ42" s="1"/>
      <c r="AK42" s="1"/>
      <c r="AL42" s="1"/>
    </row>
    <row r="43" spans="1:49" ht="49.5" customHeight="1" x14ac:dyDescent="0.2">
      <c r="A43" s="593"/>
      <c r="B43" s="560"/>
      <c r="C43" s="560"/>
      <c r="D43" s="560"/>
      <c r="E43" s="560"/>
      <c r="F43" s="560"/>
      <c r="G43" s="563"/>
      <c r="H43" s="563"/>
      <c r="I43" s="563"/>
      <c r="J43" s="563"/>
      <c r="K43" s="563"/>
      <c r="L43" s="563"/>
      <c r="M43" s="563"/>
      <c r="N43" s="560"/>
      <c r="O43" s="560"/>
      <c r="P43" s="560"/>
      <c r="Q43" s="560"/>
      <c r="R43" s="560"/>
      <c r="S43" s="560"/>
      <c r="T43" s="555"/>
      <c r="U43" s="542"/>
      <c r="V43" s="543"/>
      <c r="W43" s="544"/>
      <c r="X43" s="721"/>
      <c r="Y43" s="740"/>
      <c r="Z43" s="535"/>
      <c r="AA43" s="535"/>
      <c r="AB43" s="535"/>
      <c r="AC43" s="535"/>
      <c r="AD43" s="535"/>
      <c r="AE43" s="535"/>
      <c r="AF43" s="535"/>
      <c r="AG43" s="535"/>
      <c r="AH43" s="535"/>
      <c r="AI43" s="536"/>
      <c r="AJ43" s="1"/>
      <c r="AK43" s="1"/>
      <c r="AL43" s="1"/>
    </row>
    <row r="44" spans="1:49" ht="111" customHeight="1" thickBot="1" x14ac:dyDescent="0.25">
      <c r="A44" s="594"/>
      <c r="B44" s="561"/>
      <c r="C44" s="561"/>
      <c r="D44" s="561"/>
      <c r="E44" s="561"/>
      <c r="F44" s="561"/>
      <c r="G44" s="564"/>
      <c r="H44" s="564"/>
      <c r="I44" s="564"/>
      <c r="J44" s="564"/>
      <c r="K44" s="564"/>
      <c r="L44" s="564"/>
      <c r="M44" s="564"/>
      <c r="N44" s="561"/>
      <c r="O44" s="561"/>
      <c r="P44" s="561"/>
      <c r="Q44" s="561"/>
      <c r="R44" s="561"/>
      <c r="S44" s="561"/>
      <c r="T44" s="278" t="s">
        <v>218</v>
      </c>
      <c r="U44" s="545"/>
      <c r="V44" s="546"/>
      <c r="W44" s="547"/>
      <c r="X44" s="335" t="s">
        <v>215</v>
      </c>
      <c r="Y44" s="783"/>
      <c r="Z44" s="537"/>
      <c r="AA44" s="537"/>
      <c r="AB44" s="537"/>
      <c r="AC44" s="537"/>
      <c r="AD44" s="537"/>
      <c r="AE44" s="537"/>
      <c r="AF44" s="537"/>
      <c r="AG44" s="537"/>
      <c r="AH44" s="537"/>
      <c r="AI44" s="538"/>
      <c r="AJ44" s="1"/>
      <c r="AK44" s="1"/>
      <c r="AL44" s="1"/>
    </row>
    <row r="45" spans="1:49" ht="57" customHeight="1" x14ac:dyDescent="0.2">
      <c r="A45" s="588" t="s">
        <v>297</v>
      </c>
      <c r="B45" s="589"/>
      <c r="C45" s="788" t="str">
        <f>IFERROR(INDEX($E$7:$E$10,MATCH(A45,$B$7:$B$10,0)),"N.A.")</f>
        <v>NO LIDER</v>
      </c>
      <c r="D45" s="788"/>
      <c r="E45" s="760">
        <v>1</v>
      </c>
      <c r="F45" s="761"/>
      <c r="G45" s="827" t="s">
        <v>423</v>
      </c>
      <c r="H45" s="827"/>
      <c r="I45" s="827"/>
      <c r="J45" s="827"/>
      <c r="K45" s="827"/>
      <c r="L45" s="827"/>
      <c r="M45" s="827"/>
      <c r="N45" s="233" t="s">
        <v>227</v>
      </c>
      <c r="O45" s="179">
        <v>0.34</v>
      </c>
      <c r="P45" s="180">
        <v>37185</v>
      </c>
      <c r="Q45" s="180">
        <v>38373</v>
      </c>
      <c r="R45" s="163">
        <f>3736074314/286000</f>
        <v>13063.196902097901</v>
      </c>
      <c r="S45" s="172">
        <f>77+79.5+45.5+33+54+49</f>
        <v>338</v>
      </c>
      <c r="T45" s="431" t="str">
        <f>IF((R45)&gt;='Calificación Técnica'!$E$24,"CUMPLE","NO CUMPLE")</f>
        <v>CUMPLE</v>
      </c>
      <c r="U45" s="824" t="s">
        <v>76</v>
      </c>
      <c r="V45" s="825"/>
      <c r="W45" s="826"/>
      <c r="X45" s="768" t="str">
        <f>IF(($S$49)&gt;='Calificación Técnica'!C26,"CUMPLE","NO CUMPLE")</f>
        <v>CUMPLE</v>
      </c>
      <c r="Y45" s="373" t="s">
        <v>439</v>
      </c>
      <c r="Z45" s="354"/>
      <c r="AA45" s="355"/>
      <c r="AB45" s="355"/>
      <c r="AC45" s="355"/>
      <c r="AD45" s="355"/>
      <c r="AE45" s="355"/>
      <c r="AF45" s="355"/>
      <c r="AG45" s="355"/>
      <c r="AH45" s="355"/>
      <c r="AI45" s="356"/>
      <c r="AJ45" s="1"/>
      <c r="AK45" s="1"/>
      <c r="AL45" s="1"/>
    </row>
    <row r="46" spans="1:49" ht="54" customHeight="1" x14ac:dyDescent="0.2">
      <c r="A46" s="588" t="s">
        <v>297</v>
      </c>
      <c r="B46" s="589"/>
      <c r="C46" s="743" t="str">
        <f>IFERROR(INDEX($E$7:$E$10,MATCH(A46,$B$7:$B$10,0)),"N.A.")</f>
        <v>NO LIDER</v>
      </c>
      <c r="D46" s="743"/>
      <c r="E46" s="743">
        <v>2</v>
      </c>
      <c r="F46" s="743"/>
      <c r="G46" s="744" t="s">
        <v>433</v>
      </c>
      <c r="H46" s="744"/>
      <c r="I46" s="744"/>
      <c r="J46" s="744"/>
      <c r="K46" s="744"/>
      <c r="L46" s="744"/>
      <c r="M46" s="744"/>
      <c r="N46" s="203" t="s">
        <v>227</v>
      </c>
      <c r="O46" s="183">
        <v>0.5</v>
      </c>
      <c r="P46" s="184">
        <v>36517</v>
      </c>
      <c r="Q46" s="184">
        <v>38570</v>
      </c>
      <c r="R46" s="163">
        <f>1759387600/236460</f>
        <v>7440.5294764442187</v>
      </c>
      <c r="S46" s="163">
        <v>38.799999999999997</v>
      </c>
      <c r="T46" s="160" t="str">
        <f>IF((R46)&gt;='Calificación Técnica'!$E$24,"CUMPLE","NO CUMPLE")</f>
        <v>CUMPLE</v>
      </c>
      <c r="U46" s="764" t="s">
        <v>76</v>
      </c>
      <c r="V46" s="765"/>
      <c r="W46" s="766"/>
      <c r="X46" s="768"/>
      <c r="Y46" s="209" t="s">
        <v>440</v>
      </c>
      <c r="Z46" s="357"/>
      <c r="AA46" s="358"/>
      <c r="AB46" s="358"/>
      <c r="AC46" s="358"/>
      <c r="AD46" s="358"/>
      <c r="AE46" s="358"/>
      <c r="AF46" s="358"/>
      <c r="AG46" s="358"/>
      <c r="AH46" s="358"/>
      <c r="AI46" s="359"/>
      <c r="AJ46" s="1"/>
      <c r="AK46" s="1"/>
      <c r="AL46" s="1"/>
    </row>
    <row r="47" spans="1:49" ht="53.25" customHeight="1" x14ac:dyDescent="0.2">
      <c r="A47" s="588" t="s">
        <v>297</v>
      </c>
      <c r="B47" s="589"/>
      <c r="C47" s="743" t="str">
        <f>IFERROR(INDEX($E$7:$E$10,MATCH(A47,$B$7:$B$10,0)),"N.A.")</f>
        <v>NO LIDER</v>
      </c>
      <c r="D47" s="743"/>
      <c r="E47" s="743">
        <v>3</v>
      </c>
      <c r="F47" s="743"/>
      <c r="G47" s="744" t="s">
        <v>437</v>
      </c>
      <c r="H47" s="744"/>
      <c r="I47" s="744"/>
      <c r="J47" s="744"/>
      <c r="K47" s="744"/>
      <c r="L47" s="744"/>
      <c r="M47" s="744"/>
      <c r="N47" s="203" t="s">
        <v>227</v>
      </c>
      <c r="O47" s="183">
        <v>0.75</v>
      </c>
      <c r="P47" s="185">
        <v>38244</v>
      </c>
      <c r="Q47" s="185">
        <v>39520</v>
      </c>
      <c r="R47" s="163">
        <f>1646206277/358000</f>
        <v>4598.3415558659217</v>
      </c>
      <c r="S47" s="163">
        <v>55</v>
      </c>
      <c r="T47" s="160" t="str">
        <f>IF((R47)&gt;='Calificación Técnica'!$E$24,"CUMPLE","NO CUMPLE")</f>
        <v>CUMPLE</v>
      </c>
      <c r="U47" s="764" t="s">
        <v>76</v>
      </c>
      <c r="V47" s="765"/>
      <c r="W47" s="766"/>
      <c r="X47" s="768"/>
      <c r="Y47" s="360" t="s">
        <v>441</v>
      </c>
      <c r="Z47" s="357"/>
      <c r="AA47" s="358"/>
      <c r="AB47" s="358"/>
      <c r="AC47" s="358"/>
      <c r="AD47" s="358"/>
      <c r="AE47" s="358"/>
      <c r="AF47" s="358"/>
      <c r="AG47" s="358"/>
      <c r="AH47" s="358"/>
      <c r="AI47" s="359"/>
      <c r="AJ47" s="1"/>
      <c r="AK47" s="1"/>
      <c r="AL47" s="1"/>
    </row>
    <row r="48" spans="1:49" ht="40.5" customHeight="1" thickBot="1" x14ac:dyDescent="0.25">
      <c r="A48" s="588" t="s">
        <v>297</v>
      </c>
      <c r="B48" s="589"/>
      <c r="C48" s="771" t="str">
        <f>IFERROR(INDEX($E$7:$E$10,MATCH(A48,$B$7:$B$10,0)),"N.A.")</f>
        <v>NO LIDER</v>
      </c>
      <c r="D48" s="771"/>
      <c r="E48" s="771">
        <v>4</v>
      </c>
      <c r="F48" s="771"/>
      <c r="G48" s="827" t="s">
        <v>438</v>
      </c>
      <c r="H48" s="827"/>
      <c r="I48" s="827"/>
      <c r="J48" s="827"/>
      <c r="K48" s="827"/>
      <c r="L48" s="827"/>
      <c r="M48" s="827"/>
      <c r="N48" s="203" t="s">
        <v>227</v>
      </c>
      <c r="O48" s="205">
        <v>0.5</v>
      </c>
      <c r="P48" s="187">
        <v>37185</v>
      </c>
      <c r="Q48" s="187">
        <v>38312</v>
      </c>
      <c r="R48" s="188">
        <f>1318667937/[4]Hoja1!F20</f>
        <v>4610.7270524475525</v>
      </c>
      <c r="S48" s="188">
        <f>77.8+79.7+31.2</f>
        <v>188.7</v>
      </c>
      <c r="T48" s="430" t="str">
        <f>IF((R48)&gt;='Calificación Técnica'!$E$24,"CUMPLE","NO CUMPLE")</f>
        <v>CUMPLE</v>
      </c>
      <c r="U48" s="773" t="s">
        <v>76</v>
      </c>
      <c r="V48" s="774"/>
      <c r="W48" s="775"/>
      <c r="X48" s="769"/>
      <c r="Y48" s="210" t="s">
        <v>442</v>
      </c>
      <c r="Z48" s="390"/>
      <c r="AA48" s="391"/>
      <c r="AB48" s="391"/>
      <c r="AC48" s="391"/>
      <c r="AD48" s="391"/>
      <c r="AE48" s="391"/>
      <c r="AF48" s="391"/>
      <c r="AG48" s="391"/>
      <c r="AH48" s="391"/>
      <c r="AI48" s="392"/>
      <c r="AJ48" s="1"/>
      <c r="AK48" s="1"/>
      <c r="AL48" s="1"/>
    </row>
    <row r="49" spans="15:38" x14ac:dyDescent="0.2">
      <c r="S49" s="166">
        <f>SUM(S45:S48)</f>
        <v>620.5</v>
      </c>
      <c r="T49" s="169" t="s">
        <v>76</v>
      </c>
      <c r="U49" s="2"/>
      <c r="V49" s="2"/>
      <c r="W49" s="2"/>
      <c r="X49" s="2"/>
      <c r="AE49" s="1"/>
      <c r="AF49" s="1"/>
      <c r="AG49" s="1"/>
      <c r="AH49" s="1"/>
      <c r="AI49" s="1"/>
      <c r="AJ49" s="1"/>
      <c r="AK49" s="1"/>
      <c r="AL49" s="1"/>
    </row>
    <row r="50" spans="15:38" x14ac:dyDescent="0.2">
      <c r="O50" s="1">
        <f>8+14</f>
        <v>22</v>
      </c>
      <c r="S50" s="157"/>
    </row>
  </sheetData>
  <sheetProtection formatColumns="0" formatRows="0"/>
  <mergeCells count="157">
    <mergeCell ref="G34:K34"/>
    <mergeCell ref="G17:H17"/>
    <mergeCell ref="E18:F18"/>
    <mergeCell ref="S32:S37"/>
    <mergeCell ref="U31:AA31"/>
    <mergeCell ref="R23:Y23"/>
    <mergeCell ref="L17:Q17"/>
    <mergeCell ref="L16:Q16"/>
    <mergeCell ref="L18:Q18"/>
    <mergeCell ref="G31:K31"/>
    <mergeCell ref="G25:K25"/>
    <mergeCell ref="E20:F20"/>
    <mergeCell ref="G20:H20"/>
    <mergeCell ref="L20:Q20"/>
    <mergeCell ref="E16:F16"/>
    <mergeCell ref="G27:K27"/>
    <mergeCell ref="E17:F17"/>
    <mergeCell ref="G24:K24"/>
    <mergeCell ref="P24:P27"/>
    <mergeCell ref="R24:Y24"/>
    <mergeCell ref="R25:Y25"/>
    <mergeCell ref="E26:F26"/>
    <mergeCell ref="R26:Y26"/>
    <mergeCell ref="R27:Y27"/>
    <mergeCell ref="L19:Q19"/>
    <mergeCell ref="K14:K15"/>
    <mergeCell ref="L14:Q15"/>
    <mergeCell ref="C16:D16"/>
    <mergeCell ref="C17:D17"/>
    <mergeCell ref="C18:D18"/>
    <mergeCell ref="C24:D24"/>
    <mergeCell ref="A26:B26"/>
    <mergeCell ref="C26:D26"/>
    <mergeCell ref="G14:H15"/>
    <mergeCell ref="I14:J14"/>
    <mergeCell ref="G16:H16"/>
    <mergeCell ref="C20:D20"/>
    <mergeCell ref="G18:H18"/>
    <mergeCell ref="G26:K26"/>
    <mergeCell ref="G23:K23"/>
    <mergeCell ref="G19:H19"/>
    <mergeCell ref="G9:H9"/>
    <mergeCell ref="I9:J9"/>
    <mergeCell ref="G10:H10"/>
    <mergeCell ref="I10:J10"/>
    <mergeCell ref="G33:K33"/>
    <mergeCell ref="A23:B23"/>
    <mergeCell ref="C23:D23"/>
    <mergeCell ref="E23:F23"/>
    <mergeCell ref="A32:B32"/>
    <mergeCell ref="G32:K32"/>
    <mergeCell ref="A24:B24"/>
    <mergeCell ref="C32:D32"/>
    <mergeCell ref="A14:A15"/>
    <mergeCell ref="B14:B15"/>
    <mergeCell ref="A25:B25"/>
    <mergeCell ref="A27:B27"/>
    <mergeCell ref="P10:U10"/>
    <mergeCell ref="G7:H7"/>
    <mergeCell ref="I7:J7"/>
    <mergeCell ref="P7:U7"/>
    <mergeCell ref="P9:U9"/>
    <mergeCell ref="G8:H8"/>
    <mergeCell ref="G6:M6"/>
    <mergeCell ref="P6:U6"/>
    <mergeCell ref="A4:A5"/>
    <mergeCell ref="B4:B5"/>
    <mergeCell ref="C4:F5"/>
    <mergeCell ref="I8:J8"/>
    <mergeCell ref="P8:U8"/>
    <mergeCell ref="G4:H5"/>
    <mergeCell ref="I4:N4"/>
    <mergeCell ref="O4:O5"/>
    <mergeCell ref="P4:U5"/>
    <mergeCell ref="I5:J5"/>
    <mergeCell ref="C9:D9"/>
    <mergeCell ref="E9:F9"/>
    <mergeCell ref="C10:D10"/>
    <mergeCell ref="E10:F10"/>
    <mergeCell ref="C8:D8"/>
    <mergeCell ref="C6:D6"/>
    <mergeCell ref="E6:F6"/>
    <mergeCell ref="E8:F8"/>
    <mergeCell ref="C19:D19"/>
    <mergeCell ref="E19:F19"/>
    <mergeCell ref="C27:D27"/>
    <mergeCell ref="C7:D7"/>
    <mergeCell ref="E7:F7"/>
    <mergeCell ref="C14:F15"/>
    <mergeCell ref="C36:D36"/>
    <mergeCell ref="E36:F36"/>
    <mergeCell ref="C35:D35"/>
    <mergeCell ref="E35:F35"/>
    <mergeCell ref="C33:D33"/>
    <mergeCell ref="E24:F24"/>
    <mergeCell ref="E31:F31"/>
    <mergeCell ref="E32:F32"/>
    <mergeCell ref="C31:D31"/>
    <mergeCell ref="E34:F34"/>
    <mergeCell ref="C25:D25"/>
    <mergeCell ref="E33:F33"/>
    <mergeCell ref="E27:F27"/>
    <mergeCell ref="A34:B34"/>
    <mergeCell ref="C34:D34"/>
    <mergeCell ref="A33:B33"/>
    <mergeCell ref="A31:B31"/>
    <mergeCell ref="C37:D37"/>
    <mergeCell ref="E25:F25"/>
    <mergeCell ref="E37:F37"/>
    <mergeCell ref="G37:K37"/>
    <mergeCell ref="A36:B36"/>
    <mergeCell ref="G36:K36"/>
    <mergeCell ref="A35:B35"/>
    <mergeCell ref="G35:K35"/>
    <mergeCell ref="A46:B46"/>
    <mergeCell ref="C46:D46"/>
    <mergeCell ref="E46:F46"/>
    <mergeCell ref="G46:M46"/>
    <mergeCell ref="A37:B37"/>
    <mergeCell ref="O42:O44"/>
    <mergeCell ref="P42:P44"/>
    <mergeCell ref="Q42:Q44"/>
    <mergeCell ref="S42:S44"/>
    <mergeCell ref="R42:R44"/>
    <mergeCell ref="A45:B45"/>
    <mergeCell ref="C45:D45"/>
    <mergeCell ref="E45:F45"/>
    <mergeCell ref="G45:M45"/>
    <mergeCell ref="N42:N44"/>
    <mergeCell ref="G42:M44"/>
    <mergeCell ref="A42:B44"/>
    <mergeCell ref="C42:D44"/>
    <mergeCell ref="E42:F44"/>
    <mergeCell ref="A48:B48"/>
    <mergeCell ref="C48:D48"/>
    <mergeCell ref="E48:F48"/>
    <mergeCell ref="G48:M48"/>
    <mergeCell ref="U48:W48"/>
    <mergeCell ref="A47:B47"/>
    <mergeCell ref="C47:D47"/>
    <mergeCell ref="E47:F47"/>
    <mergeCell ref="G47:M47"/>
    <mergeCell ref="U47:W47"/>
    <mergeCell ref="X45:X48"/>
    <mergeCell ref="U35:AA35"/>
    <mergeCell ref="U36:AA36"/>
    <mergeCell ref="U32:AA32"/>
    <mergeCell ref="T42:T43"/>
    <mergeCell ref="Y42:Y44"/>
    <mergeCell ref="X42:X43"/>
    <mergeCell ref="U42:W44"/>
    <mergeCell ref="Z42:AI44"/>
    <mergeCell ref="U33:AA33"/>
    <mergeCell ref="U34:AA34"/>
    <mergeCell ref="U37:AA37"/>
    <mergeCell ref="U46:W46"/>
    <mergeCell ref="U45:W45"/>
  </mergeCells>
  <conditionalFormatting sqref="P24:P25 S32 T45:T48 P27">
    <cfRule type="cellIs" dxfId="22" priority="22" stopIfTrue="1" operator="equal">
      <formula>"NO HABIL"</formula>
    </cfRule>
  </conditionalFormatting>
  <conditionalFormatting sqref="J16">
    <cfRule type="cellIs" dxfId="21" priority="16" stopIfTrue="1" operator="equal">
      <formula>"NO HABIL"</formula>
    </cfRule>
  </conditionalFormatting>
  <conditionalFormatting sqref="N6">
    <cfRule type="cellIs" dxfId="20" priority="6" stopIfTrue="1" operator="equal">
      <formula>"NO HABIL"</formula>
    </cfRule>
  </conditionalFormatting>
  <conditionalFormatting sqref="R32:R34 R39 R37">
    <cfRule type="cellIs" dxfId="19" priority="5" stopIfTrue="1" operator="equal">
      <formula>"NO HABIL"</formula>
    </cfRule>
  </conditionalFormatting>
  <conditionalFormatting sqref="P26">
    <cfRule type="cellIs" dxfId="18" priority="3" stopIfTrue="1" operator="equal">
      <formula>"NO HABIL"</formula>
    </cfRule>
  </conditionalFormatting>
  <conditionalFormatting sqref="R35">
    <cfRule type="cellIs" dxfId="17" priority="2" stopIfTrue="1" operator="equal">
      <formula>"NO HABIL"</formula>
    </cfRule>
  </conditionalFormatting>
  <conditionalFormatting sqref="R36">
    <cfRule type="cellIs" dxfId="16" priority="1" stopIfTrue="1" operator="equal">
      <formula>"NO HABIL"</formula>
    </cfRule>
  </conditionalFormatting>
  <dataValidations count="3">
    <dataValidation type="list" allowBlank="1" showInputMessage="1" showErrorMessage="1" sqref="K7:L11 M11">
      <formula1>$AN$7:$AN$8</formula1>
    </dataValidation>
    <dataValidation type="list" allowBlank="1" showInputMessage="1" showErrorMessage="1" sqref="G7:H11">
      <formula1>$AM$7:$AM$8</formula1>
    </dataValidation>
    <dataValidation type="list" allowBlank="1" showInputMessage="1" showErrorMessage="1" sqref="A26:B27 B24 A24:A25 A32:B37 A45:B48">
      <formula1>$B$7:$B$9</formula1>
    </dataValidation>
  </dataValidations>
  <printOptions horizontalCentered="1" verticalCentered="1"/>
  <pageMargins left="0.23622047244094491" right="0.23622047244094491" top="0.78740157480314965" bottom="0.35433070866141736" header="0.51181102362204722" footer="0.51181102362204722"/>
  <pageSetup paperSize="5" scale="46" orientation="landscape" r:id="rId1"/>
  <headerFooter alignWithMargins="0"/>
  <rowBreaks count="1" manualBreakCount="1">
    <brk id="28"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9" sqref="D9"/>
    </sheetView>
  </sheetViews>
  <sheetFormatPr baseColWidth="10" defaultRowHeight="12.75" x14ac:dyDescent="0.2"/>
  <cols>
    <col min="2" max="2" width="16.5703125" customWidth="1"/>
    <col min="3" max="3" width="18.28515625" customWidth="1"/>
    <col min="4" max="4" width="25.5703125" customWidth="1"/>
  </cols>
  <sheetData>
    <row r="1" spans="1:4" ht="13.5" thickBot="1" x14ac:dyDescent="0.25"/>
    <row r="2" spans="1:4" x14ac:dyDescent="0.2">
      <c r="A2" s="837" t="s">
        <v>140</v>
      </c>
      <c r="B2" s="838"/>
      <c r="C2" s="838"/>
      <c r="D2" s="839"/>
    </row>
    <row r="3" spans="1:4" ht="51" x14ac:dyDescent="0.2">
      <c r="A3" s="161" t="s">
        <v>141</v>
      </c>
      <c r="B3" s="159" t="s">
        <v>149</v>
      </c>
      <c r="C3" s="159" t="s">
        <v>142</v>
      </c>
      <c r="D3" s="306" t="str">
        <f>'P4'!B6</f>
        <v>CONSORCIO CSLVC</v>
      </c>
    </row>
    <row r="4" spans="1:4" ht="25.5" customHeight="1" x14ac:dyDescent="0.2">
      <c r="A4" s="834" t="s">
        <v>143</v>
      </c>
      <c r="B4" s="728">
        <v>100</v>
      </c>
      <c r="C4" s="158">
        <v>1</v>
      </c>
      <c r="D4" s="729">
        <v>900</v>
      </c>
    </row>
    <row r="5" spans="1:4" ht="25.5" customHeight="1" x14ac:dyDescent="0.2">
      <c r="A5" s="835"/>
      <c r="B5" s="728"/>
      <c r="C5" s="158">
        <v>2</v>
      </c>
      <c r="D5" s="729"/>
    </row>
    <row r="6" spans="1:4" ht="25.5" customHeight="1" x14ac:dyDescent="0.2">
      <c r="A6" s="835"/>
      <c r="B6" s="728"/>
      <c r="C6" s="158">
        <v>3</v>
      </c>
      <c r="D6" s="729"/>
    </row>
    <row r="7" spans="1:4" ht="25.5" customHeight="1" x14ac:dyDescent="0.2">
      <c r="A7" s="836"/>
      <c r="B7" s="728"/>
      <c r="C7" s="416">
        <v>4</v>
      </c>
      <c r="D7" s="729"/>
    </row>
    <row r="8" spans="1:4" ht="13.5" thickBot="1" x14ac:dyDescent="0.25">
      <c r="A8" s="725" t="s">
        <v>144</v>
      </c>
      <c r="B8" s="726"/>
      <c r="C8" s="726"/>
      <c r="D8" s="307">
        <v>1000</v>
      </c>
    </row>
  </sheetData>
  <mergeCells count="5">
    <mergeCell ref="A8:C8"/>
    <mergeCell ref="D4:D7"/>
    <mergeCell ref="A4:A7"/>
    <mergeCell ref="A2:D2"/>
    <mergeCell ref="B4:B7"/>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49"/>
  <sheetViews>
    <sheetView view="pageBreakPreview" zoomScale="40" zoomScaleNormal="80" zoomScaleSheetLayoutView="40" workbookViewId="0">
      <selection activeCell="Z44" sqref="Z44:AA44"/>
    </sheetView>
  </sheetViews>
  <sheetFormatPr baseColWidth="10" defaultColWidth="11.5703125" defaultRowHeight="12.75" x14ac:dyDescent="0.2"/>
  <cols>
    <col min="1" max="1" width="13.5703125" style="1" customWidth="1"/>
    <col min="2" max="2" width="30.7109375" style="1" customWidth="1"/>
    <col min="3" max="3" width="6.85546875" style="1" customWidth="1"/>
    <col min="4" max="4" width="6.5703125" style="1" customWidth="1"/>
    <col min="5" max="5" width="6.28515625" style="1" customWidth="1"/>
    <col min="6" max="6" width="5.8554687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21.140625" style="1" customWidth="1"/>
    <col min="13" max="13" width="25.140625" style="1" bestFit="1" customWidth="1"/>
    <col min="14" max="17" width="15.42578125" style="1" customWidth="1"/>
    <col min="18" max="19" width="17.28515625" style="1" customWidth="1"/>
    <col min="20" max="20" width="25.140625" style="3" customWidth="1"/>
    <col min="21" max="21" width="10.28515625" style="3" customWidth="1"/>
    <col min="22" max="22" width="8" style="3" customWidth="1"/>
    <col min="23" max="23" width="11.7109375" style="3" customWidth="1"/>
    <col min="24" max="24" width="26.140625" style="3" customWidth="1"/>
    <col min="25" max="25" width="13.5703125" style="2" customWidth="1"/>
    <col min="26" max="30" width="14.85546875" style="2" customWidth="1"/>
    <col min="31" max="31" width="12.42578125" style="2" bestFit="1" customWidth="1"/>
    <col min="32" max="32" width="17.42578125" style="2" customWidth="1"/>
    <col min="33" max="33" width="19" style="2" customWidth="1"/>
    <col min="34" max="34" width="16.85546875" style="2" customWidth="1"/>
    <col min="35" max="35" width="17.28515625" style="2" customWidth="1"/>
    <col min="36" max="36" width="17" style="2" customWidth="1"/>
    <col min="37" max="37" width="17.28515625" style="2" customWidth="1"/>
    <col min="38" max="38" width="16.7109375" style="2" customWidth="1"/>
    <col min="39" max="39" width="16.85546875" style="1" customWidth="1"/>
    <col min="40" max="40" width="16.5703125" style="1" customWidth="1"/>
    <col min="41" max="42" width="16.42578125" style="1" customWidth="1"/>
    <col min="43" max="43" width="5" style="1" bestFit="1" customWidth="1"/>
    <col min="44" max="44" width="2.28515625" style="1" bestFit="1" customWidth="1"/>
    <col min="45" max="45" width="5" style="1" bestFit="1" customWidth="1"/>
    <col min="46" max="46" width="5.5703125" style="1" bestFit="1" customWidth="1"/>
    <col min="47" max="47" width="6.5703125" style="1" bestFit="1" customWidth="1"/>
    <col min="48" max="48" width="2.42578125" style="1" bestFit="1" customWidth="1"/>
    <col min="49" max="49" width="8.7109375" style="1" bestFit="1" customWidth="1"/>
    <col min="50" max="50" width="11.42578125" style="1" bestFit="1" customWidth="1"/>
    <col min="51" max="16384" width="11.5703125" style="1"/>
  </cols>
  <sheetData>
    <row r="1" spans="1:49" ht="21" customHeight="1" x14ac:dyDescent="0.2">
      <c r="A1" s="90" t="s">
        <v>146</v>
      </c>
    </row>
    <row r="2" spans="1:49" ht="8.25" customHeight="1" x14ac:dyDescent="0.2"/>
    <row r="3" spans="1:49"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c r="AH3" s="79"/>
      <c r="AI3" s="79"/>
      <c r="AJ3" s="79"/>
      <c r="AK3" s="79"/>
      <c r="AL3" s="79"/>
    </row>
    <row r="4" spans="1:49"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t="s">
        <v>129</v>
      </c>
      <c r="AC4" s="85" t="s">
        <v>130</v>
      </c>
      <c r="AD4" s="85" t="s">
        <v>131</v>
      </c>
      <c r="AE4" s="85" t="s">
        <v>132</v>
      </c>
      <c r="AF4" s="85" t="s">
        <v>137</v>
      </c>
      <c r="AG4" s="153" t="s">
        <v>138</v>
      </c>
      <c r="AH4" s="85"/>
      <c r="AI4" s="85"/>
      <c r="AJ4" s="85"/>
      <c r="AK4" s="85"/>
      <c r="AL4" s="85"/>
    </row>
    <row r="5" spans="1:49" ht="117.75" customHeight="1" x14ac:dyDescent="0.2">
      <c r="A5" s="677" t="s">
        <v>1</v>
      </c>
      <c r="B5" s="679"/>
      <c r="C5" s="683"/>
      <c r="D5" s="684"/>
      <c r="E5" s="684"/>
      <c r="F5" s="685"/>
      <c r="G5" s="683"/>
      <c r="H5" s="685"/>
      <c r="I5" s="697" t="s">
        <v>124</v>
      </c>
      <c r="J5" s="698"/>
      <c r="K5" s="240" t="s">
        <v>109</v>
      </c>
      <c r="L5" s="251" t="s">
        <v>162</v>
      </c>
      <c r="M5" s="240" t="s">
        <v>148</v>
      </c>
      <c r="N5" s="240" t="s">
        <v>67</v>
      </c>
      <c r="O5" s="690"/>
      <c r="P5" s="694"/>
      <c r="Q5" s="695"/>
      <c r="R5" s="695"/>
      <c r="S5" s="695"/>
      <c r="T5" s="695"/>
      <c r="U5" s="696"/>
      <c r="V5" s="82"/>
      <c r="W5" s="82"/>
      <c r="X5" s="82"/>
      <c r="Y5" s="86"/>
      <c r="Z5" s="86"/>
      <c r="AA5" s="86"/>
      <c r="AB5" s="85">
        <v>1</v>
      </c>
      <c r="AC5" s="139">
        <v>7067480705</v>
      </c>
      <c r="AD5" s="139">
        <f>+AC5*1.5</f>
        <v>10601221057.5</v>
      </c>
      <c r="AE5" s="141">
        <f>+AD5/566700</f>
        <v>18706.936752249869</v>
      </c>
      <c r="AF5" s="141">
        <f>+AC5/566700</f>
        <v>12471.291168166579</v>
      </c>
      <c r="AG5" s="154">
        <v>163.21</v>
      </c>
      <c r="AH5" s="86"/>
      <c r="AI5" s="86"/>
      <c r="AJ5" s="86"/>
      <c r="AK5" s="86"/>
      <c r="AL5" s="1"/>
    </row>
    <row r="6" spans="1:49" ht="27" customHeight="1" thickBot="1" x14ac:dyDescent="0.25">
      <c r="A6" s="236">
        <v>5</v>
      </c>
      <c r="B6" s="103" t="str">
        <f>INDEX(PROPONENTES!B1:B8,MATCH(A6,PROPONENTES!A1:A8,0))</f>
        <v>CONSORCIO INTERCONCESIONES 2014</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v>2</v>
      </c>
      <c r="AC6" s="139">
        <v>4386497161</v>
      </c>
      <c r="AD6" s="140" t="e">
        <f>#N/A</f>
        <v>#N/A</v>
      </c>
      <c r="AE6" s="141" t="e">
        <f>#N/A</f>
        <v>#N/A</v>
      </c>
      <c r="AF6" s="141">
        <f>+AC6/566700</f>
        <v>7740.422023998588</v>
      </c>
      <c r="AG6" s="154">
        <v>297.10000000000002</v>
      </c>
      <c r="AH6" s="80"/>
      <c r="AI6" s="80"/>
      <c r="AJ6" s="80"/>
      <c r="AK6" s="80"/>
      <c r="AL6" s="1"/>
    </row>
    <row r="7" spans="1:49" ht="30.75" customHeight="1" thickTop="1" x14ac:dyDescent="0.2">
      <c r="A7" s="105" t="str">
        <f>CONCATENATE($A$6,"A")</f>
        <v>5A</v>
      </c>
      <c r="B7" s="106" t="str">
        <f>IFERROR(INDEX(PROPONENTES!$F$1:$F$23,MATCH(A7,PROPONENTES!$E$1:$E$23,0)),"")</f>
        <v>CONSULTORES TECNICOS Y ECONOMICOS SA - CONSULTECNICOS</v>
      </c>
      <c r="C7" s="707">
        <f>IFERROR(INDEX(PROPONENTES!$H$1:$H$23,MATCH(A7,PROPONENTES!$E$1:$E$23,0)),"")</f>
        <v>0.6</v>
      </c>
      <c r="D7" s="707"/>
      <c r="E7" s="638" t="str">
        <f>IF(B7="","N. A.",IF(C7&lt;=40%,"NO LIDER","LIDER"))</f>
        <v>LIDER</v>
      </c>
      <c r="F7" s="638"/>
      <c r="G7" s="670" t="s">
        <v>77</v>
      </c>
      <c r="H7" s="670"/>
      <c r="I7" s="638" t="str">
        <f>IF(B7="","N.A.",IF(OR(G7="E"),"APLICA FORMATO 1","APLICA RUP"))</f>
        <v>APLICA RUP</v>
      </c>
      <c r="J7" s="638"/>
      <c r="K7" s="227" t="s">
        <v>78</v>
      </c>
      <c r="L7" s="227" t="s">
        <v>78</v>
      </c>
      <c r="M7" s="88" t="s">
        <v>108</v>
      </c>
      <c r="N7" s="97" t="str">
        <f>IF(B7="","N. A.",IF(AND(K7="SI",L7="SI",M7="N.A."),"HABIL","NO HABIL"))</f>
        <v>HABIL</v>
      </c>
      <c r="O7" s="229" t="s">
        <v>329</v>
      </c>
      <c r="P7" s="666" t="s">
        <v>163</v>
      </c>
      <c r="Q7" s="667"/>
      <c r="R7" s="667"/>
      <c r="S7" s="667"/>
      <c r="T7" s="667"/>
      <c r="U7" s="668"/>
      <c r="V7" s="83"/>
      <c r="W7" s="83"/>
      <c r="X7" s="83"/>
      <c r="Y7" s="81"/>
      <c r="Z7" s="81"/>
      <c r="AA7" s="81"/>
      <c r="AB7" s="85">
        <v>3</v>
      </c>
      <c r="AC7" s="139">
        <v>3714537836</v>
      </c>
      <c r="AD7" s="140" t="e">
        <f>#N/A</f>
        <v>#N/A</v>
      </c>
      <c r="AE7" s="141" t="e">
        <f>#N/A</f>
        <v>#N/A</v>
      </c>
      <c r="AF7" s="141" t="e">
        <f>#N/A</f>
        <v>#N/A</v>
      </c>
      <c r="AG7" s="154">
        <v>38.299999999999997</v>
      </c>
      <c r="AH7" s="81"/>
      <c r="AI7" s="81"/>
      <c r="AJ7" s="81"/>
      <c r="AK7" s="81"/>
      <c r="AL7" s="1"/>
      <c r="AM7" s="88" t="s">
        <v>77</v>
      </c>
      <c r="AN7" s="88" t="s">
        <v>78</v>
      </c>
      <c r="AO7" s="88" t="e">
        <f>IF(#REF!="HABIL",1,0)</f>
        <v>#REF!</v>
      </c>
      <c r="AP7" s="89" t="e">
        <f>SUM(AO7:AO10)</f>
        <v>#REF!</v>
      </c>
      <c r="AQ7" s="88" t="e">
        <f>IF(#REF!="HABIL",1,0)</f>
        <v>#REF!</v>
      </c>
      <c r="AR7" s="89" t="e">
        <f>SUM(AQ7:AQ10)</f>
        <v>#REF!</v>
      </c>
      <c r="AS7" s="88">
        <f>IF(B7="",0,IF(G7="O",17420*C7,0))</f>
        <v>10452</v>
      </c>
      <c r="AT7" s="88">
        <f>SUM(AS7:AS10)</f>
        <v>17420</v>
      </c>
      <c r="AU7" s="88" t="s">
        <v>74</v>
      </c>
      <c r="AV7" s="88" t="s">
        <v>76</v>
      </c>
      <c r="AW7" s="88">
        <v>0</v>
      </c>
    </row>
    <row r="8" spans="1:49" ht="29.25" customHeight="1" x14ac:dyDescent="0.2">
      <c r="A8" s="107" t="str">
        <f>CONCATENATE($A$6,"B")</f>
        <v>5B</v>
      </c>
      <c r="B8" s="108" t="str">
        <f>IFERROR(INDEX(PROPONENTES!$F$1:$F$23,MATCH(A8,PROPONENTES!$E$1:$E$23,0)),"")</f>
        <v>JOYCO SAS</v>
      </c>
      <c r="C8" s="669">
        <f>IFERROR(INDEX(PROPONENTES!$H$1:$H$23,MATCH(A8,PROPONENTES!$E$1:$E$23,0)),"")</f>
        <v>0.3</v>
      </c>
      <c r="D8" s="669"/>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61</v>
      </c>
      <c r="P8" s="666" t="s">
        <v>163</v>
      </c>
      <c r="Q8" s="667"/>
      <c r="R8" s="667"/>
      <c r="S8" s="667"/>
      <c r="T8" s="667"/>
      <c r="U8" s="668"/>
      <c r="V8" s="83"/>
      <c r="W8" s="83"/>
      <c r="X8" s="83"/>
      <c r="Y8" s="81"/>
      <c r="Z8" s="81"/>
      <c r="AA8" s="81"/>
      <c r="AB8" s="85">
        <v>4</v>
      </c>
      <c r="AC8" s="139">
        <v>2398084008</v>
      </c>
      <c r="AD8" s="140" t="e">
        <f>#N/A</f>
        <v>#N/A</v>
      </c>
      <c r="AE8" s="141" t="e">
        <f>#N/A</f>
        <v>#N/A</v>
      </c>
      <c r="AF8" s="141" t="e">
        <f>#N/A</f>
        <v>#N/A</v>
      </c>
      <c r="AG8" s="154">
        <v>54.4</v>
      </c>
      <c r="AH8" s="81"/>
      <c r="AI8" s="81"/>
      <c r="AJ8" s="81"/>
      <c r="AK8" s="81"/>
      <c r="AL8" s="1"/>
      <c r="AM8" s="88" t="s">
        <v>79</v>
      </c>
      <c r="AN8" s="88" t="s">
        <v>111</v>
      </c>
      <c r="AO8" s="88" t="e">
        <f>IF(#REF!="HABIL",1,0)</f>
        <v>#REF!</v>
      </c>
      <c r="AP8" s="89"/>
      <c r="AQ8" s="88" t="e">
        <f>IF(#REF!="HABIL",1,0)</f>
        <v>#REF!</v>
      </c>
      <c r="AR8" s="88"/>
      <c r="AS8" s="88">
        <f>IF(B8="",0,IF(G8="O",17420*C8,0))</f>
        <v>5226</v>
      </c>
      <c r="AU8" s="88" t="s">
        <v>75</v>
      </c>
      <c r="AV8" s="88" t="s">
        <v>108</v>
      </c>
      <c r="AW8" s="88">
        <v>150</v>
      </c>
    </row>
    <row r="9" spans="1:49" ht="27.75" customHeight="1" x14ac:dyDescent="0.2">
      <c r="A9" s="107" t="str">
        <f>CONCATENATE($A$6,"C")</f>
        <v>5C</v>
      </c>
      <c r="B9" s="108" t="str">
        <f>IFERROR(INDEX(PROPONENTES!$F$1:$F$23,MATCH(A9,PROPONENTES!$E$1:$E$23,0)),"")</f>
        <v>CIVILTEC INGENIEROS LTDA</v>
      </c>
      <c r="C9" s="669">
        <f>IFERROR(INDEX(PROPONENTES!$H$1:$H$23,MATCH(A9,PROPONENTES!$E$1:$E$23,0)),"")</f>
        <v>0.1</v>
      </c>
      <c r="D9" s="669"/>
      <c r="E9" s="638" t="str">
        <f>IF(B9="","N. A.",IF(C9&lt;=40%,"NO LIDER","LIDER"))</f>
        <v>NO LIDER</v>
      </c>
      <c r="F9" s="638"/>
      <c r="G9" s="670" t="s">
        <v>77</v>
      </c>
      <c r="H9" s="670"/>
      <c r="I9" s="639" t="str">
        <f>IF(B9="","N.A.",IF(OR(G9="E"),"APLICA FORMATO 1","APLICA RUP"))</f>
        <v>APLICA RUP</v>
      </c>
      <c r="J9" s="639"/>
      <c r="K9" s="168" t="s">
        <v>78</v>
      </c>
      <c r="L9" s="168" t="s">
        <v>78</v>
      </c>
      <c r="M9" s="250" t="s">
        <v>108</v>
      </c>
      <c r="N9" s="48" t="str">
        <f>IF(B9="","N. A.",IF(AND(K9="SI",L9="SI",M9="N.A."),"HABIL","NO HABIL"))</f>
        <v>HABIL</v>
      </c>
      <c r="O9" s="230">
        <v>69</v>
      </c>
      <c r="P9" s="666" t="s">
        <v>163</v>
      </c>
      <c r="Q9" s="667"/>
      <c r="R9" s="667"/>
      <c r="S9" s="667"/>
      <c r="T9" s="667"/>
      <c r="U9" s="668"/>
      <c r="V9" s="83"/>
      <c r="W9" s="83"/>
      <c r="X9" s="83"/>
      <c r="Y9" s="81"/>
      <c r="Z9" s="81"/>
      <c r="AA9" s="81"/>
      <c r="AB9" s="85">
        <v>5</v>
      </c>
      <c r="AC9" s="139">
        <v>1779028594.4000001</v>
      </c>
      <c r="AD9" s="140" t="e">
        <f>#N/A</f>
        <v>#N/A</v>
      </c>
      <c r="AE9" s="141" t="e">
        <f>#N/A</f>
        <v>#N/A</v>
      </c>
      <c r="AF9" s="141" t="e">
        <f>#N/A</f>
        <v>#N/A</v>
      </c>
      <c r="AG9" s="154">
        <v>82.04</v>
      </c>
      <c r="AH9" s="81"/>
      <c r="AI9" s="81"/>
      <c r="AJ9" s="81"/>
      <c r="AK9" s="81"/>
      <c r="AL9" s="1"/>
      <c r="AM9" s="88"/>
      <c r="AN9" s="88"/>
      <c r="AO9" s="88" t="e">
        <f>IF(#REF!="HABIL",1,0)</f>
        <v>#REF!</v>
      </c>
      <c r="AP9" s="89"/>
      <c r="AQ9" s="88" t="e">
        <f>IF(#REF!="HABIL",1,0)</f>
        <v>#REF!</v>
      </c>
      <c r="AR9" s="88"/>
      <c r="AS9" s="88">
        <f>IF(B9="",0,IF(G9="O",17420*C9,0))</f>
        <v>1742</v>
      </c>
      <c r="AW9" s="88" t="s">
        <v>120</v>
      </c>
    </row>
    <row r="10" spans="1:49" ht="29.25" customHeight="1" thickBot="1" x14ac:dyDescent="0.25">
      <c r="A10" s="109"/>
      <c r="B10" s="110" t="str">
        <f>IFERROR(INDEX(PROPONENTES!$F$1:$F$23,MATCH(A10,PROPONENTES!$E$1:$E$23,0)),"")</f>
        <v/>
      </c>
      <c r="C10" s="671" t="str">
        <f>IFERROR(INDEX(PROPONENTES!$H$1:$H$23,MATCH(A10,PROPONENTES!$E$1:$E$23,0)),"")</f>
        <v/>
      </c>
      <c r="D10" s="671"/>
      <c r="E10" s="628"/>
      <c r="F10" s="628"/>
      <c r="G10" s="672"/>
      <c r="H10" s="672"/>
      <c r="I10" s="628"/>
      <c r="J10" s="628"/>
      <c r="K10" s="228"/>
      <c r="L10" s="228"/>
      <c r="M10" s="228"/>
      <c r="N10" s="49"/>
      <c r="O10" s="178"/>
      <c r="P10" s="673"/>
      <c r="Q10" s="674"/>
      <c r="R10" s="674"/>
      <c r="S10" s="674"/>
      <c r="T10" s="674"/>
      <c r="U10" s="675"/>
      <c r="V10" s="83"/>
      <c r="W10" s="83"/>
      <c r="X10" s="83"/>
      <c r="Y10" s="81"/>
      <c r="Z10" s="81"/>
      <c r="AA10" s="81"/>
      <c r="AB10" s="85">
        <v>6</v>
      </c>
      <c r="AC10" s="139">
        <v>2424911490</v>
      </c>
      <c r="AD10" s="140" t="e">
        <f>#N/A</f>
        <v>#N/A</v>
      </c>
      <c r="AE10" s="141" t="e">
        <f>#N/A</f>
        <v>#N/A</v>
      </c>
      <c r="AF10" s="141" t="e">
        <f>#N/A</f>
        <v>#N/A</v>
      </c>
      <c r="AG10" s="154">
        <v>285</v>
      </c>
      <c r="AH10" s="81"/>
      <c r="AI10" s="81"/>
      <c r="AJ10" s="81"/>
      <c r="AK10" s="81"/>
      <c r="AL10" s="1"/>
      <c r="AM10" s="88"/>
      <c r="AN10" s="88"/>
      <c r="AO10" s="88" t="e">
        <f>IF(#REF!="HABIL",1,0)</f>
        <v>#REF!</v>
      </c>
      <c r="AP10" s="89"/>
      <c r="AQ10" s="88" t="e">
        <f>IF(#REF!="HABIL",1,0)</f>
        <v>#REF!</v>
      </c>
      <c r="AR10" s="88"/>
      <c r="AS10" s="88">
        <f>IF(B10="",0,IF(G10="O",17420*C10,0))</f>
        <v>0</v>
      </c>
    </row>
    <row r="11" spans="1:49" ht="29.25" customHeight="1" x14ac:dyDescent="0.2">
      <c r="A11" s="142"/>
      <c r="B11" s="143"/>
      <c r="C11" s="144"/>
      <c r="D11" s="144"/>
      <c r="E11" s="123"/>
      <c r="F11" s="123"/>
      <c r="G11" s="146"/>
      <c r="H11" s="146"/>
      <c r="I11" s="123"/>
      <c r="J11" s="123"/>
      <c r="K11" s="147"/>
      <c r="L11" s="147"/>
      <c r="M11" s="147"/>
      <c r="N11" s="123"/>
      <c r="O11" s="123"/>
      <c r="P11" s="145"/>
      <c r="Q11" s="145"/>
      <c r="R11" s="145"/>
      <c r="S11" s="145"/>
      <c r="T11" s="145"/>
      <c r="U11" s="145"/>
      <c r="V11" s="83"/>
      <c r="W11" s="83"/>
      <c r="X11" s="83"/>
      <c r="Y11" s="81"/>
      <c r="Z11" s="81"/>
      <c r="AA11" s="81"/>
      <c r="AB11" s="85">
        <v>7</v>
      </c>
      <c r="AC11" s="139">
        <v>4834246259</v>
      </c>
      <c r="AD11" s="140" t="e">
        <f>#N/A</f>
        <v>#N/A</v>
      </c>
      <c r="AE11" s="141" t="e">
        <f>#N/A</f>
        <v>#N/A</v>
      </c>
      <c r="AF11" s="141" t="e">
        <f>#N/A</f>
        <v>#N/A</v>
      </c>
      <c r="AG11" s="154">
        <v>66.599999999999994</v>
      </c>
      <c r="AH11" s="81"/>
      <c r="AI11" s="81"/>
      <c r="AJ11" s="81"/>
      <c r="AK11" s="81"/>
      <c r="AL11" s="1"/>
      <c r="AM11" s="88"/>
      <c r="AN11" s="88"/>
      <c r="AO11" s="88"/>
      <c r="AP11" s="89"/>
      <c r="AQ11" s="88"/>
      <c r="AR11" s="88"/>
      <c r="AS11" s="88"/>
    </row>
    <row r="12" spans="1:49" ht="32.25" customHeight="1" x14ac:dyDescent="0.2">
      <c r="AB12" s="85">
        <v>8</v>
      </c>
      <c r="AC12" s="139">
        <v>11012084020</v>
      </c>
      <c r="AD12" s="139">
        <f>+AC12</f>
        <v>11012084020</v>
      </c>
      <c r="AE12" s="141" t="e">
        <f>#N/A</f>
        <v>#N/A</v>
      </c>
      <c r="AF12" s="141" t="e">
        <f>#N/A</f>
        <v>#N/A</v>
      </c>
      <c r="AG12" s="154">
        <v>131.5</v>
      </c>
      <c r="AL12" s="1"/>
      <c r="AP12" s="3"/>
    </row>
    <row r="13" spans="1:49" ht="18" customHeight="1" thickBot="1" x14ac:dyDescent="0.25">
      <c r="A13" s="74" t="s">
        <v>125</v>
      </c>
      <c r="T13" s="1"/>
      <c r="Y13" s="3"/>
      <c r="AB13" s="85">
        <v>9</v>
      </c>
      <c r="AC13" s="139">
        <v>9870934329</v>
      </c>
      <c r="AD13" s="139">
        <f>+AC13</f>
        <v>9870934329</v>
      </c>
      <c r="AE13" s="141" t="e">
        <f>#N/A</f>
        <v>#N/A</v>
      </c>
      <c r="AF13" s="141" t="e">
        <f>#N/A</f>
        <v>#N/A</v>
      </c>
      <c r="AG13" s="154">
        <v>94.55</v>
      </c>
      <c r="AQ13" s="3"/>
    </row>
    <row r="14" spans="1:49"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v>10</v>
      </c>
      <c r="AC14" s="139">
        <v>6558945207.6000004</v>
      </c>
      <c r="AD14" s="139">
        <f>+AC14*1.5</f>
        <v>9838417811.4000015</v>
      </c>
      <c r="AE14" s="141" t="e">
        <f>#N/A</f>
        <v>#N/A</v>
      </c>
      <c r="AF14" s="141" t="e">
        <f>#N/A</f>
        <v>#N/A</v>
      </c>
      <c r="AG14" s="155">
        <v>325.17500000000001</v>
      </c>
      <c r="AQ14" s="3"/>
    </row>
    <row r="15" spans="1:49" ht="96.75" customHeight="1" x14ac:dyDescent="0.2">
      <c r="A15" s="654" t="s">
        <v>1</v>
      </c>
      <c r="B15" s="656"/>
      <c r="C15" s="660"/>
      <c r="D15" s="661"/>
      <c r="E15" s="661"/>
      <c r="F15" s="662"/>
      <c r="G15" s="660"/>
      <c r="H15" s="662"/>
      <c r="I15" s="47" t="s">
        <v>257</v>
      </c>
      <c r="J15" s="47" t="s">
        <v>161</v>
      </c>
      <c r="K15" s="665"/>
      <c r="L15" s="645"/>
      <c r="M15" s="646"/>
      <c r="N15" s="646"/>
      <c r="O15" s="646"/>
      <c r="P15" s="646"/>
      <c r="Q15" s="647"/>
      <c r="T15" s="1"/>
      <c r="Y15" s="3"/>
      <c r="AB15" s="85"/>
      <c r="AC15" s="139"/>
      <c r="AD15" s="139"/>
      <c r="AE15" s="141"/>
      <c r="AM15" s="2"/>
      <c r="AR15" s="3"/>
    </row>
    <row r="16" spans="1:49" ht="36.75" customHeight="1" thickBot="1" x14ac:dyDescent="0.25">
      <c r="A16" s="77">
        <f>+A6</f>
        <v>5</v>
      </c>
      <c r="B16" s="76" t="str">
        <f>+B6</f>
        <v>CONSORCIO INTERCONCESIONES 2014</v>
      </c>
      <c r="C16" s="648" t="str">
        <f>+C6</f>
        <v>%</v>
      </c>
      <c r="D16" s="649"/>
      <c r="E16" s="650" t="str">
        <f>+E6</f>
        <v>Condición integrante</v>
      </c>
      <c r="F16" s="651"/>
      <c r="G16" s="91"/>
      <c r="H16" s="92"/>
      <c r="I16" s="93"/>
      <c r="J16" s="76" t="str">
        <f>IF(AND(J17="N. A.",J18="N. A.",J19="N. A.",J20="N. A."),"N. A.",IF(AS8&gt;=1,"HABIL","NO HABIL"))</f>
        <v>HABIL</v>
      </c>
      <c r="K16" s="78"/>
      <c r="L16" s="641"/>
      <c r="M16" s="642"/>
      <c r="N16" s="642"/>
      <c r="O16" s="642"/>
      <c r="P16" s="642"/>
      <c r="Q16" s="643"/>
      <c r="T16" s="1"/>
      <c r="Y16" s="3"/>
      <c r="AM16" s="2"/>
      <c r="AR16" s="3"/>
    </row>
    <row r="17" spans="1:45" ht="31.5" customHeight="1" thickTop="1" x14ac:dyDescent="0.2">
      <c r="A17" s="95" t="str">
        <f>+A7</f>
        <v>5A</v>
      </c>
      <c r="B17" s="96" t="str">
        <f t="shared" ref="B17:C19" si="0">+B7</f>
        <v>CONSULTORES TECNICOS Y ECONOMICOS SA - CONSULTECNICOS</v>
      </c>
      <c r="C17" s="637">
        <f t="shared" si="0"/>
        <v>0.6</v>
      </c>
      <c r="D17" s="638"/>
      <c r="E17" s="638" t="str">
        <f>+E7</f>
        <v>LIDER</v>
      </c>
      <c r="F17" s="638"/>
      <c r="G17" s="652" t="s">
        <v>77</v>
      </c>
      <c r="H17" s="638"/>
      <c r="I17" s="221">
        <v>46.190280000000001</v>
      </c>
      <c r="J17" s="167" t="str">
        <f>IF(B7="","N. A.",IF(AND(G7="O",I17&gt;=10),"HABIL",IF(AND(G7="O",I17&lt;10),"NO HABIL","N. A.")))</f>
        <v>HABIL</v>
      </c>
      <c r="K17" s="222">
        <v>50</v>
      </c>
      <c r="L17" s="641"/>
      <c r="M17" s="642"/>
      <c r="N17" s="642"/>
      <c r="O17" s="642"/>
      <c r="P17" s="642"/>
      <c r="Q17" s="643"/>
      <c r="T17" s="1"/>
      <c r="Y17" s="3"/>
      <c r="AM17" s="2"/>
      <c r="AR17" s="3"/>
    </row>
    <row r="18" spans="1:45" ht="39" customHeight="1" x14ac:dyDescent="0.2">
      <c r="A18" s="98" t="str">
        <f>+A8</f>
        <v>5B</v>
      </c>
      <c r="B18" s="99" t="str">
        <f t="shared" si="0"/>
        <v>JOYCO SAS</v>
      </c>
      <c r="C18" s="759">
        <f t="shared" si="0"/>
        <v>0.3</v>
      </c>
      <c r="D18" s="639"/>
      <c r="E18" s="639" t="str">
        <f>+E8</f>
        <v>NO LIDER</v>
      </c>
      <c r="F18" s="639"/>
      <c r="G18" s="640" t="s">
        <v>77</v>
      </c>
      <c r="H18" s="639"/>
      <c r="I18" s="223">
        <v>34.502400000000002</v>
      </c>
      <c r="J18" s="275" t="str">
        <f>IF(B8="","N. A.",IF(AND(G8="O",I18&gt;=10),"HABIL",IF(AND(G8="O",I18&lt;10),"NO HABIL","N. A.")))</f>
        <v>HABIL</v>
      </c>
      <c r="K18" s="224">
        <v>61</v>
      </c>
      <c r="L18" s="641"/>
      <c r="M18" s="642"/>
      <c r="N18" s="642"/>
      <c r="O18" s="642"/>
      <c r="P18" s="642"/>
      <c r="Q18" s="643"/>
      <c r="T18" s="1"/>
      <c r="Y18" s="3"/>
      <c r="AM18" s="2"/>
      <c r="AR18" s="3"/>
    </row>
    <row r="19" spans="1:45" ht="27.75" customHeight="1" x14ac:dyDescent="0.2">
      <c r="A19" s="98" t="str">
        <f>+A9</f>
        <v>5C</v>
      </c>
      <c r="B19" s="99" t="str">
        <f t="shared" si="0"/>
        <v>CIVILTEC INGENIEROS LTDA</v>
      </c>
      <c r="C19" s="759">
        <f t="shared" si="0"/>
        <v>0.1</v>
      </c>
      <c r="D19" s="639"/>
      <c r="E19" s="639" t="str">
        <f>+E9</f>
        <v>NO LIDER</v>
      </c>
      <c r="F19" s="639"/>
      <c r="G19" s="640" t="s">
        <v>77</v>
      </c>
      <c r="H19" s="639"/>
      <c r="I19" s="223">
        <v>17.916499999999999</v>
      </c>
      <c r="J19" s="46" t="str">
        <f>IF(B9="","N. A.",IF(AND(G9="O",I19&gt;=10),"HABIL",IF(AND(G9="O",I19&lt;10),"NO HABIL","N. A.")))</f>
        <v>HABIL</v>
      </c>
      <c r="K19" s="224">
        <v>69</v>
      </c>
      <c r="L19" s="641"/>
      <c r="M19" s="642"/>
      <c r="N19" s="642"/>
      <c r="O19" s="642"/>
      <c r="P19" s="642"/>
      <c r="Q19" s="643"/>
      <c r="T19" s="1"/>
      <c r="Y19" s="3"/>
      <c r="AM19" s="2"/>
      <c r="AR19" s="3"/>
    </row>
    <row r="20" spans="1:45" ht="29.25" customHeight="1" thickBot="1" x14ac:dyDescent="0.25">
      <c r="A20" s="100"/>
      <c r="B20" s="101"/>
      <c r="C20" s="627"/>
      <c r="D20" s="628"/>
      <c r="E20" s="628"/>
      <c r="F20" s="628"/>
      <c r="G20" s="629"/>
      <c r="H20" s="628"/>
      <c r="I20" s="225"/>
      <c r="J20" s="75"/>
      <c r="K20" s="226"/>
      <c r="L20" s="630"/>
      <c r="M20" s="631"/>
      <c r="N20" s="631"/>
      <c r="O20" s="631"/>
      <c r="P20" s="631"/>
      <c r="Q20" s="632"/>
      <c r="T20" s="1"/>
      <c r="Y20" s="3"/>
      <c r="AM20" s="2"/>
      <c r="AR20" s="3"/>
    </row>
    <row r="21" spans="1:45" ht="29.25" customHeight="1" x14ac:dyDescent="0.2">
      <c r="A21" s="123"/>
      <c r="B21" s="124"/>
      <c r="C21" s="125"/>
      <c r="D21" s="123"/>
      <c r="E21" s="123"/>
      <c r="F21" s="123"/>
      <c r="G21" s="126"/>
      <c r="H21" s="123"/>
      <c r="I21" s="128"/>
      <c r="J21" s="129"/>
      <c r="K21" s="130"/>
      <c r="L21" s="127"/>
      <c r="M21" s="127"/>
      <c r="N21" s="127"/>
      <c r="O21" s="127"/>
      <c r="P21" s="127"/>
      <c r="Q21" s="127"/>
      <c r="T21" s="1"/>
      <c r="Y21" s="3"/>
      <c r="AM21" s="2"/>
      <c r="AR21" s="3"/>
    </row>
    <row r="22" spans="1:45" ht="24" customHeight="1" x14ac:dyDescent="0.2">
      <c r="T22" s="1"/>
      <c r="U22" s="1"/>
      <c r="Y22" s="3"/>
      <c r="Z22" s="3"/>
      <c r="AM22" s="2"/>
      <c r="AN22" s="2"/>
      <c r="AS22" s="3"/>
    </row>
    <row r="23" spans="1:45" ht="16.5" thickBot="1" x14ac:dyDescent="0.25">
      <c r="A23" s="74" t="s">
        <v>330</v>
      </c>
      <c r="T23" s="1"/>
      <c r="U23" s="1"/>
      <c r="Y23" s="3"/>
      <c r="Z23" s="3"/>
      <c r="AB23" s="113"/>
      <c r="AC23" s="113"/>
      <c r="AD23" s="113"/>
      <c r="AE23" s="113"/>
      <c r="AF23" s="113"/>
      <c r="AG23" s="113"/>
      <c r="AM23" s="2"/>
      <c r="AN23" s="2"/>
      <c r="AS23" s="3"/>
    </row>
    <row r="24" spans="1:45" ht="111" customHeight="1" x14ac:dyDescent="0.2">
      <c r="A24" s="615" t="s">
        <v>112</v>
      </c>
      <c r="B24" s="541"/>
      <c r="C24" s="539" t="s">
        <v>113</v>
      </c>
      <c r="D24" s="541"/>
      <c r="E24" s="539" t="s">
        <v>70</v>
      </c>
      <c r="F24" s="541"/>
      <c r="G24" s="608" t="s">
        <v>114</v>
      </c>
      <c r="H24" s="609"/>
      <c r="I24" s="609"/>
      <c r="J24" s="609"/>
      <c r="K24" s="758"/>
      <c r="L24" s="243" t="s">
        <v>115</v>
      </c>
      <c r="M24" s="383" t="s">
        <v>126</v>
      </c>
      <c r="N24" s="242" t="s">
        <v>117</v>
      </c>
      <c r="O24" s="242" t="s">
        <v>118</v>
      </c>
      <c r="P24" s="383" t="s">
        <v>127</v>
      </c>
      <c r="Q24" s="383" t="s">
        <v>106</v>
      </c>
      <c r="R24" s="619" t="s">
        <v>2</v>
      </c>
      <c r="S24" s="620"/>
      <c r="T24" s="620"/>
      <c r="U24" s="620"/>
      <c r="V24" s="620"/>
      <c r="W24" s="620"/>
      <c r="X24" s="621"/>
      <c r="Y24" s="114"/>
      <c r="Z24" s="114"/>
      <c r="AA24" s="114"/>
      <c r="AB24" s="114"/>
      <c r="AC24" s="114"/>
      <c r="AD24" s="114"/>
      <c r="AE24" s="111"/>
      <c r="AF24" s="111"/>
      <c r="AG24" s="111"/>
      <c r="AH24" s="111"/>
      <c r="AI24" s="111"/>
      <c r="AJ24" s="111"/>
      <c r="AK24" s="111"/>
      <c r="AL24" s="1"/>
      <c r="AP24" s="3"/>
    </row>
    <row r="25" spans="1:45" ht="93" customHeight="1" x14ac:dyDescent="0.2">
      <c r="A25" s="622" t="s">
        <v>284</v>
      </c>
      <c r="B25" s="623"/>
      <c r="C25" s="531" t="str">
        <f>IFERROR(INDEX($E$7:$E$9,MATCH(A25,$B$7:$B$9,0)),"N.A.")</f>
        <v>LIDER</v>
      </c>
      <c r="D25" s="532"/>
      <c r="E25" s="531">
        <v>1</v>
      </c>
      <c r="F25" s="532"/>
      <c r="G25" s="571" t="s">
        <v>331</v>
      </c>
      <c r="H25" s="572"/>
      <c r="I25" s="572"/>
      <c r="J25" s="572"/>
      <c r="K25" s="573"/>
      <c r="L25" s="182" t="s">
        <v>332</v>
      </c>
      <c r="M25" s="182" t="s">
        <v>78</v>
      </c>
      <c r="N25" s="185">
        <v>38374</v>
      </c>
      <c r="O25" s="185">
        <v>39512</v>
      </c>
      <c r="P25" s="755" t="s">
        <v>122</v>
      </c>
      <c r="Q25" s="181" t="s">
        <v>333</v>
      </c>
      <c r="R25" s="565"/>
      <c r="S25" s="566"/>
      <c r="T25" s="566"/>
      <c r="U25" s="566"/>
      <c r="V25" s="566"/>
      <c r="W25" s="566"/>
      <c r="X25" s="567"/>
      <c r="Y25" s="112"/>
      <c r="Z25" s="112"/>
      <c r="AA25" s="112"/>
      <c r="AB25" s="112"/>
      <c r="AC25" s="112"/>
      <c r="AD25" s="112"/>
      <c r="AE25" s="112"/>
      <c r="AF25" s="112"/>
      <c r="AG25" s="112"/>
      <c r="AH25" s="112"/>
      <c r="AI25" s="112"/>
      <c r="AJ25" s="112"/>
      <c r="AK25" s="112"/>
      <c r="AL25" s="1"/>
      <c r="AM25" s="1">
        <f>IF(C25="MAP",IF(#REF!&gt;=30%,#REF!,#REF!*#REF!),0)</f>
        <v>0</v>
      </c>
      <c r="AN25" s="1">
        <f>SUM(AM25:AM25)</f>
        <v>0</v>
      </c>
      <c r="AP25" s="3"/>
    </row>
    <row r="26" spans="1:45" ht="93" hidden="1" customHeight="1" x14ac:dyDescent="0.2">
      <c r="A26" s="841" t="s">
        <v>284</v>
      </c>
      <c r="B26" s="842"/>
      <c r="C26" s="843" t="str">
        <f>IFERROR(INDEX($E$7:$E$9,MATCH(A26,$B$7:$B$9,0)),"N.A.")</f>
        <v>LIDER</v>
      </c>
      <c r="D26" s="844"/>
      <c r="E26" s="843">
        <v>2</v>
      </c>
      <c r="F26" s="844"/>
      <c r="G26" s="845" t="s">
        <v>334</v>
      </c>
      <c r="H26" s="846"/>
      <c r="I26" s="846"/>
      <c r="J26" s="846"/>
      <c r="K26" s="847"/>
      <c r="L26" s="394" t="s">
        <v>233</v>
      </c>
      <c r="M26" s="394" t="s">
        <v>78</v>
      </c>
      <c r="N26" s="395">
        <v>38033</v>
      </c>
      <c r="O26" s="395">
        <v>40771</v>
      </c>
      <c r="P26" s="557"/>
      <c r="Q26" s="368" t="s">
        <v>335</v>
      </c>
      <c r="R26" s="848" t="s">
        <v>336</v>
      </c>
      <c r="S26" s="849"/>
      <c r="T26" s="849"/>
      <c r="U26" s="849"/>
      <c r="V26" s="849"/>
      <c r="W26" s="849"/>
      <c r="X26" s="850"/>
      <c r="Y26" s="112"/>
      <c r="Z26" s="112"/>
      <c r="AA26" s="112"/>
      <c r="AB26" s="112"/>
      <c r="AC26" s="112"/>
      <c r="AD26" s="112"/>
      <c r="AE26" s="112"/>
      <c r="AF26" s="112"/>
      <c r="AG26" s="112"/>
      <c r="AH26" s="112"/>
      <c r="AI26" s="112"/>
      <c r="AJ26" s="112"/>
      <c r="AK26" s="112"/>
      <c r="AL26" s="1"/>
      <c r="AM26" s="1">
        <f>IF(C26="MAP",IF(#REF!&gt;=30%,#REF!,#REF!*#REF!),0)</f>
        <v>0</v>
      </c>
      <c r="AN26" s="1">
        <f>SUM(AM26:AM26)</f>
        <v>0</v>
      </c>
      <c r="AP26" s="3"/>
    </row>
    <row r="27" spans="1:45" ht="51.75" customHeight="1" x14ac:dyDescent="0.2">
      <c r="A27" s="622" t="s">
        <v>285</v>
      </c>
      <c r="B27" s="623"/>
      <c r="C27" s="531" t="str">
        <f>IFERROR(INDEX($E$7:$E$12,MATCH(A27,$B$7:$B$12,0)),"N.A.")</f>
        <v>NO LIDER</v>
      </c>
      <c r="D27" s="532"/>
      <c r="E27" s="531">
        <v>3</v>
      </c>
      <c r="F27" s="532"/>
      <c r="G27" s="571" t="s">
        <v>337</v>
      </c>
      <c r="H27" s="572"/>
      <c r="I27" s="572"/>
      <c r="J27" s="572"/>
      <c r="K27" s="573"/>
      <c r="L27" s="182" t="s">
        <v>201</v>
      </c>
      <c r="M27" s="182" t="s">
        <v>78</v>
      </c>
      <c r="N27" s="185">
        <v>39792</v>
      </c>
      <c r="O27" s="185">
        <v>40977</v>
      </c>
      <c r="P27" s="557"/>
      <c r="Q27" s="181" t="s">
        <v>338</v>
      </c>
      <c r="R27" s="565"/>
      <c r="S27" s="566"/>
      <c r="T27" s="566"/>
      <c r="U27" s="566"/>
      <c r="V27" s="566"/>
      <c r="W27" s="566"/>
      <c r="X27" s="567"/>
      <c r="Y27" s="112"/>
      <c r="Z27" s="112"/>
      <c r="AA27" s="112"/>
      <c r="AB27" s="112"/>
      <c r="AC27" s="112"/>
      <c r="AD27" s="112"/>
      <c r="AE27" s="112"/>
      <c r="AF27" s="112"/>
      <c r="AG27" s="112"/>
      <c r="AH27" s="112"/>
      <c r="AI27" s="112"/>
      <c r="AJ27" s="112"/>
      <c r="AK27" s="112"/>
      <c r="AL27" s="1"/>
      <c r="AM27" s="1">
        <f>IF(C27="MAP",IF(#REF!&gt;=30%,#REF!,#REF!*#REF!),0)</f>
        <v>0</v>
      </c>
      <c r="AN27" s="1">
        <f>SUM(AM27:AM27)</f>
        <v>0</v>
      </c>
      <c r="AP27" s="3"/>
    </row>
    <row r="28" spans="1:45" s="259" customFormat="1" ht="51.75" customHeight="1" thickBot="1" x14ac:dyDescent="0.25">
      <c r="A28" s="611" t="s">
        <v>286</v>
      </c>
      <c r="B28" s="612"/>
      <c r="C28" s="613" t="str">
        <f>IFERROR(INDEX($E$7:$E$9,MATCH(A28,$B$7:$B$9,0)),"N.A.")</f>
        <v>NO LIDER</v>
      </c>
      <c r="D28" s="614"/>
      <c r="E28" s="613">
        <v>4</v>
      </c>
      <c r="F28" s="614"/>
      <c r="G28" s="851" t="s">
        <v>339</v>
      </c>
      <c r="H28" s="852"/>
      <c r="I28" s="852"/>
      <c r="J28" s="852"/>
      <c r="K28" s="853"/>
      <c r="L28" s="238" t="s">
        <v>233</v>
      </c>
      <c r="M28" s="238" t="s">
        <v>78</v>
      </c>
      <c r="N28" s="427">
        <v>39133</v>
      </c>
      <c r="O28" s="427">
        <v>39636</v>
      </c>
      <c r="P28" s="558"/>
      <c r="Q28" s="196" t="s">
        <v>340</v>
      </c>
      <c r="R28" s="812"/>
      <c r="S28" s="813"/>
      <c r="T28" s="813"/>
      <c r="U28" s="813"/>
      <c r="V28" s="813"/>
      <c r="W28" s="813"/>
      <c r="X28" s="814"/>
      <c r="Y28" s="258"/>
      <c r="Z28" s="258"/>
      <c r="AA28" s="258"/>
      <c r="AB28" s="258"/>
      <c r="AC28" s="258"/>
      <c r="AD28" s="258"/>
      <c r="AE28" s="258"/>
      <c r="AF28" s="258"/>
      <c r="AG28" s="258"/>
      <c r="AH28" s="258"/>
      <c r="AI28" s="258"/>
      <c r="AJ28" s="258"/>
      <c r="AK28" s="258"/>
      <c r="AM28" s="259">
        <f>IF(C28="MAP",IF(#REF!&gt;=30%,#REF!,#REF!*#REF!),0)</f>
        <v>0</v>
      </c>
      <c r="AN28" s="259">
        <f>SUM(AM28:AM28)</f>
        <v>0</v>
      </c>
      <c r="AP28" s="260"/>
    </row>
    <row r="29" spans="1:45" ht="24" customHeight="1" x14ac:dyDescent="0.2">
      <c r="T29" s="1"/>
      <c r="U29" s="1"/>
      <c r="Y29" s="3"/>
      <c r="Z29" s="3"/>
      <c r="AM29" s="2"/>
      <c r="AN29" s="2"/>
      <c r="AS29" s="3"/>
    </row>
    <row r="30" spans="1:45" x14ac:dyDescent="0.2">
      <c r="T30" s="1"/>
      <c r="Y30" s="3"/>
      <c r="AM30" s="2"/>
    </row>
    <row r="31" spans="1:45" ht="16.5" thickBot="1" x14ac:dyDescent="0.25">
      <c r="A31" s="74" t="s">
        <v>217</v>
      </c>
      <c r="T31" s="1"/>
      <c r="Y31" s="3"/>
      <c r="AA31" s="113"/>
      <c r="AB31" s="113"/>
      <c r="AC31" s="113"/>
      <c r="AD31" s="113"/>
      <c r="AE31" s="113"/>
      <c r="AF31" s="113"/>
      <c r="AM31" s="2"/>
      <c r="AR31" s="3"/>
    </row>
    <row r="32" spans="1:45" ht="114" customHeight="1" x14ac:dyDescent="0.2">
      <c r="A32" s="615" t="s">
        <v>112</v>
      </c>
      <c r="B32" s="541"/>
      <c r="C32" s="539" t="s">
        <v>113</v>
      </c>
      <c r="D32" s="541"/>
      <c r="E32" s="539" t="s">
        <v>70</v>
      </c>
      <c r="F32" s="541"/>
      <c r="G32" s="608" t="s">
        <v>114</v>
      </c>
      <c r="H32" s="609"/>
      <c r="I32" s="609"/>
      <c r="J32" s="609"/>
      <c r="K32" s="758"/>
      <c r="L32" s="241" t="s">
        <v>128</v>
      </c>
      <c r="M32" s="243" t="s">
        <v>115</v>
      </c>
      <c r="N32" s="242" t="s">
        <v>117</v>
      </c>
      <c r="O32" s="242" t="s">
        <v>118</v>
      </c>
      <c r="P32" s="242" t="s">
        <v>116</v>
      </c>
      <c r="Q32" s="242" t="s">
        <v>119</v>
      </c>
      <c r="R32" s="279" t="s">
        <v>189</v>
      </c>
      <c r="S32" s="336" t="s">
        <v>260</v>
      </c>
      <c r="T32" s="242" t="s">
        <v>106</v>
      </c>
      <c r="U32" s="619" t="s">
        <v>2</v>
      </c>
      <c r="V32" s="620"/>
      <c r="W32" s="620"/>
      <c r="X32" s="620"/>
      <c r="Y32" s="620"/>
      <c r="Z32" s="620"/>
      <c r="AA32" s="621"/>
      <c r="AB32" s="114"/>
      <c r="AC32" s="114"/>
      <c r="AD32" s="114"/>
      <c r="AE32" s="114"/>
      <c r="AF32" s="111"/>
      <c r="AG32" s="111"/>
      <c r="AH32" s="111"/>
      <c r="AI32" s="111"/>
      <c r="AJ32" s="111"/>
      <c r="AK32" s="111"/>
      <c r="AL32" s="111"/>
      <c r="AQ32" s="3"/>
    </row>
    <row r="33" spans="1:49" ht="89.25" customHeight="1" x14ac:dyDescent="0.2">
      <c r="A33" s="622" t="s">
        <v>284</v>
      </c>
      <c r="B33" s="623"/>
      <c r="C33" s="531" t="str">
        <f>IFERROR(INDEX($E$7:$E$9,MATCH(A25,$B$7:$B$9,0)),"N.A.")</f>
        <v>LIDER</v>
      </c>
      <c r="D33" s="532"/>
      <c r="E33" s="531">
        <v>1</v>
      </c>
      <c r="F33" s="532"/>
      <c r="G33" s="571" t="s">
        <v>331</v>
      </c>
      <c r="H33" s="572"/>
      <c r="I33" s="572"/>
      <c r="J33" s="572"/>
      <c r="K33" s="573"/>
      <c r="L33" s="220" t="s">
        <v>246</v>
      </c>
      <c r="M33" s="182" t="s">
        <v>332</v>
      </c>
      <c r="N33" s="185">
        <v>38374</v>
      </c>
      <c r="O33" s="185">
        <v>39512</v>
      </c>
      <c r="P33" s="192">
        <v>0.75</v>
      </c>
      <c r="Q33" s="151">
        <f>4584728442/381500</f>
        <v>12017.63680733945</v>
      </c>
      <c r="R33" s="281" t="str">
        <f>IF(((Q33)&gt;='Calificación Técnica'!$E$18),"HABIL",IF(((Q33)&lt;'Calificación Técnica'!$E$18),"NO HABIL",))</f>
        <v>HABIL</v>
      </c>
      <c r="S33" s="755" t="str">
        <f>IF(($Q$33+$Q$34)&gt;='Calificación Técnica'!E14*0.6,IF(($Q$35+$Q$36)&gt;='Calificación Técnica'!E14*0.4,"HABIL","NO HABIL"))</f>
        <v>HABIL</v>
      </c>
      <c r="T33" s="181" t="str">
        <f>+Q25</f>
        <v>131 A 136</v>
      </c>
      <c r="U33" s="565"/>
      <c r="V33" s="566"/>
      <c r="W33" s="566"/>
      <c r="X33" s="566"/>
      <c r="Y33" s="566"/>
      <c r="Z33" s="566"/>
      <c r="AA33" s="567"/>
      <c r="AB33" s="112"/>
      <c r="AC33" s="112"/>
      <c r="AD33" s="112"/>
      <c r="AE33" s="112"/>
      <c r="AF33" s="112"/>
      <c r="AG33" s="112"/>
      <c r="AH33" s="112"/>
      <c r="AI33" s="112"/>
      <c r="AJ33" s="112"/>
      <c r="AK33" s="112"/>
      <c r="AL33" s="112"/>
      <c r="AM33" s="112"/>
      <c r="AN33" s="112"/>
      <c r="AP33" s="1">
        <f>IF(C33="MAP",IF(N33&gt;=30%,#REF!,#REF!*N33),0)</f>
        <v>0</v>
      </c>
      <c r="AQ33" s="1">
        <f>SUM(AP33:AP36)</f>
        <v>0</v>
      </c>
      <c r="AS33" s="3"/>
    </row>
    <row r="34" spans="1:49" ht="114" customHeight="1" x14ac:dyDescent="0.2">
      <c r="A34" s="622" t="s">
        <v>284</v>
      </c>
      <c r="B34" s="623"/>
      <c r="C34" s="531" t="str">
        <f>IFERROR(INDEX($E$7:$E$9,MATCH(A26,$B$7:$B$9,0)),"N.A.")</f>
        <v>LIDER</v>
      </c>
      <c r="D34" s="532"/>
      <c r="E34" s="531">
        <v>2</v>
      </c>
      <c r="F34" s="532"/>
      <c r="G34" s="571" t="s">
        <v>334</v>
      </c>
      <c r="H34" s="572"/>
      <c r="I34" s="572"/>
      <c r="J34" s="572"/>
      <c r="K34" s="573"/>
      <c r="L34" s="220" t="s">
        <v>246</v>
      </c>
      <c r="M34" s="182" t="s">
        <v>233</v>
      </c>
      <c r="N34" s="185">
        <v>38033</v>
      </c>
      <c r="O34" s="185">
        <v>40771</v>
      </c>
      <c r="P34" s="192">
        <v>0.5</v>
      </c>
      <c r="Q34" s="163">
        <f>8682599118/Hoja1!F23</f>
        <v>24253.070162011172</v>
      </c>
      <c r="R34" s="281" t="s">
        <v>449</v>
      </c>
      <c r="S34" s="557"/>
      <c r="T34" s="181" t="str">
        <f>+Q26</f>
        <v>138 A 140</v>
      </c>
      <c r="U34" s="737"/>
      <c r="V34" s="738"/>
      <c r="W34" s="738"/>
      <c r="X34" s="738"/>
      <c r="Y34" s="738"/>
      <c r="Z34" s="738"/>
      <c r="AA34" s="739"/>
      <c r="AB34" s="112"/>
      <c r="AC34" s="112"/>
      <c r="AD34" s="112"/>
      <c r="AE34" s="112"/>
      <c r="AF34" s="112"/>
      <c r="AG34" s="112"/>
      <c r="AH34" s="112"/>
      <c r="AI34" s="112"/>
      <c r="AJ34" s="112"/>
      <c r="AK34" s="112"/>
      <c r="AL34" s="112"/>
      <c r="AM34" s="112"/>
      <c r="AN34" s="112"/>
      <c r="AP34" s="1">
        <f>IF(C34="MAP",IF(N34&gt;=30%,#REF!,#REF!*N34),0)</f>
        <v>0</v>
      </c>
      <c r="AS34" s="3"/>
    </row>
    <row r="35" spans="1:49" ht="58.5" customHeight="1" x14ac:dyDescent="0.2">
      <c r="A35" s="622" t="s">
        <v>285</v>
      </c>
      <c r="B35" s="623"/>
      <c r="C35" s="531" t="str">
        <f>IFERROR(INDEX($E$7:$E$12,MATCH(A27,$B$7:$B$12,0)),"N.A.")</f>
        <v>NO LIDER</v>
      </c>
      <c r="D35" s="532"/>
      <c r="E35" s="531">
        <v>1</v>
      </c>
      <c r="F35" s="532"/>
      <c r="G35" s="571" t="s">
        <v>337</v>
      </c>
      <c r="H35" s="572"/>
      <c r="I35" s="572"/>
      <c r="J35" s="572"/>
      <c r="K35" s="573"/>
      <c r="L35" s="220" t="s">
        <v>133</v>
      </c>
      <c r="M35" s="182" t="s">
        <v>201</v>
      </c>
      <c r="N35" s="185">
        <v>39792</v>
      </c>
      <c r="O35" s="185">
        <v>40977</v>
      </c>
      <c r="P35" s="192">
        <v>0.33</v>
      </c>
      <c r="Q35" s="151">
        <f>4790880852/461500</f>
        <v>10381.106938244853</v>
      </c>
      <c r="R35" s="281" t="s">
        <v>108</v>
      </c>
      <c r="S35" s="557"/>
      <c r="T35" s="181" t="str">
        <f>+Q27</f>
        <v>143 A 153</v>
      </c>
      <c r="U35" s="737"/>
      <c r="V35" s="738"/>
      <c r="W35" s="738"/>
      <c r="X35" s="738"/>
      <c r="Y35" s="738"/>
      <c r="Z35" s="738"/>
      <c r="AA35" s="739"/>
      <c r="AB35" s="112"/>
      <c r="AC35" s="112"/>
      <c r="AD35" s="112"/>
      <c r="AE35" s="112"/>
      <c r="AF35" s="112"/>
      <c r="AG35" s="112"/>
      <c r="AH35" s="112"/>
      <c r="AI35" s="112"/>
      <c r="AJ35" s="112"/>
      <c r="AK35" s="112"/>
      <c r="AL35" s="112"/>
      <c r="AM35" s="112"/>
      <c r="AN35" s="112"/>
      <c r="AP35" s="1">
        <f>IF(C35="MAP",IF(N35&gt;=30%,#REF!,#REF!*N35),0)</f>
        <v>0</v>
      </c>
      <c r="AS35" s="3"/>
    </row>
    <row r="36" spans="1:49" s="305" customFormat="1" ht="90.75" customHeight="1" thickBot="1" x14ac:dyDescent="0.25">
      <c r="A36" s="611" t="s">
        <v>286</v>
      </c>
      <c r="B36" s="612"/>
      <c r="C36" s="613" t="str">
        <f>IFERROR(INDEX($E$7:$E$9,MATCH(A28,$B$7:$B$9,0)),"N.A.")</f>
        <v>NO LIDER</v>
      </c>
      <c r="D36" s="614"/>
      <c r="E36" s="613">
        <v>2</v>
      </c>
      <c r="F36" s="614"/>
      <c r="G36" s="851" t="s">
        <v>447</v>
      </c>
      <c r="H36" s="852"/>
      <c r="I36" s="852"/>
      <c r="J36" s="852"/>
      <c r="K36" s="853"/>
      <c r="L36" s="428" t="s">
        <v>246</v>
      </c>
      <c r="M36" s="238" t="s">
        <v>233</v>
      </c>
      <c r="N36" s="427">
        <v>39133</v>
      </c>
      <c r="O36" s="427">
        <v>39636</v>
      </c>
      <c r="P36" s="297">
        <v>1</v>
      </c>
      <c r="Q36" s="429">
        <f>1330028412/Hoja1!F26</f>
        <v>3066.701434171086</v>
      </c>
      <c r="R36" s="315" t="s">
        <v>108</v>
      </c>
      <c r="S36" s="840"/>
      <c r="T36" s="181" t="str">
        <f>+Q28</f>
        <v>156 A 166</v>
      </c>
      <c r="U36" s="737"/>
      <c r="V36" s="738"/>
      <c r="W36" s="738"/>
      <c r="X36" s="738"/>
      <c r="Y36" s="738"/>
      <c r="Z36" s="738"/>
      <c r="AA36" s="739"/>
      <c r="AB36" s="309"/>
      <c r="AC36" s="309"/>
      <c r="AD36" s="309"/>
      <c r="AE36" s="309"/>
      <c r="AF36" s="309"/>
      <c r="AG36" s="309"/>
      <c r="AH36" s="309"/>
      <c r="AI36" s="309"/>
      <c r="AJ36" s="309"/>
      <c r="AK36" s="309"/>
      <c r="AL36" s="309"/>
      <c r="AM36" s="309"/>
      <c r="AN36" s="309"/>
      <c r="AP36" s="305">
        <f>IF(C36="MAP",IF(N36&gt;=30%,#REF!,#REF!*N36),0)</f>
        <v>0</v>
      </c>
      <c r="AS36" s="310"/>
    </row>
    <row r="37" spans="1:49" x14ac:dyDescent="0.2">
      <c r="Q37" s="300">
        <f>SUM(Q34:Q36)</f>
        <v>37700.878534427116</v>
      </c>
      <c r="R37" s="169" t="str">
        <f>IF(B7="","N. A.",IF((Q37&gt;='Calificación Técnica'!E14),"CUMPLE",IF((Q37&lt;'Calificación Técnica'!E14),"NO CUMPLE","N. A.")))</f>
        <v>CUMPLE</v>
      </c>
    </row>
    <row r="39" spans="1:49" ht="25.5" x14ac:dyDescent="0.2">
      <c r="A39" s="90" t="s">
        <v>145</v>
      </c>
      <c r="T39" s="1"/>
      <c r="U39" s="1"/>
      <c r="Y39" s="3"/>
      <c r="Z39" s="3"/>
      <c r="AM39" s="2"/>
      <c r="AN39" s="2"/>
      <c r="AO39" s="2"/>
      <c r="AP39" s="2"/>
      <c r="AQ39" s="2"/>
      <c r="AR39" s="2"/>
      <c r="AS39" s="2"/>
      <c r="AT39" s="2"/>
      <c r="AU39" s="2"/>
      <c r="AV39" s="2"/>
    </row>
    <row r="40" spans="1:49" ht="16.5" thickBot="1" x14ac:dyDescent="0.25">
      <c r="A40" s="74" t="s">
        <v>152</v>
      </c>
      <c r="T40" s="1"/>
      <c r="U40" s="1"/>
      <c r="V40" s="1"/>
      <c r="Y40" s="3"/>
      <c r="Z40" s="3"/>
      <c r="AA40" s="3"/>
      <c r="AM40" s="2"/>
      <c r="AN40" s="2"/>
      <c r="AO40" s="2"/>
      <c r="AP40" s="2"/>
      <c r="AQ40" s="2"/>
      <c r="AR40" s="2"/>
      <c r="AS40" s="2"/>
      <c r="AT40" s="2"/>
      <c r="AU40" s="2"/>
      <c r="AV40" s="2"/>
      <c r="AW40" s="2"/>
    </row>
    <row r="41" spans="1:49" ht="32.25" customHeight="1" x14ac:dyDescent="0.2">
      <c r="A41" s="592" t="s">
        <v>112</v>
      </c>
      <c r="B41" s="559"/>
      <c r="C41" s="559" t="s">
        <v>113</v>
      </c>
      <c r="D41" s="559"/>
      <c r="E41" s="559" t="s">
        <v>70</v>
      </c>
      <c r="F41" s="559"/>
      <c r="G41" s="562" t="s">
        <v>114</v>
      </c>
      <c r="H41" s="562"/>
      <c r="I41" s="562"/>
      <c r="J41" s="562"/>
      <c r="K41" s="562"/>
      <c r="L41" s="562"/>
      <c r="M41" s="562"/>
      <c r="N41" s="559" t="s">
        <v>115</v>
      </c>
      <c r="O41" s="559" t="s">
        <v>116</v>
      </c>
      <c r="P41" s="559" t="s">
        <v>117</v>
      </c>
      <c r="Q41" s="559" t="s">
        <v>118</v>
      </c>
      <c r="R41" s="559" t="s">
        <v>119</v>
      </c>
      <c r="S41" s="559" t="s">
        <v>139</v>
      </c>
      <c r="T41" s="554" t="s">
        <v>191</v>
      </c>
      <c r="U41" s="539" t="s">
        <v>195</v>
      </c>
      <c r="V41" s="540"/>
      <c r="W41" s="541"/>
      <c r="X41" s="720" t="s">
        <v>194</v>
      </c>
      <c r="Y41" s="548" t="s">
        <v>106</v>
      </c>
      <c r="Z41" s="854" t="s">
        <v>2</v>
      </c>
      <c r="AA41" s="533"/>
      <c r="AB41" s="533"/>
      <c r="AC41" s="533"/>
      <c r="AD41" s="533"/>
      <c r="AE41" s="533"/>
      <c r="AF41" s="533"/>
      <c r="AG41" s="533"/>
      <c r="AH41" s="533"/>
      <c r="AI41" s="534"/>
      <c r="AJ41" s="1"/>
      <c r="AK41" s="1"/>
      <c r="AL41" s="1"/>
    </row>
    <row r="42" spans="1:49" ht="38.25" customHeight="1" x14ac:dyDescent="0.2">
      <c r="A42" s="593"/>
      <c r="B42" s="560"/>
      <c r="C42" s="560"/>
      <c r="D42" s="560"/>
      <c r="E42" s="560"/>
      <c r="F42" s="560"/>
      <c r="G42" s="563"/>
      <c r="H42" s="563"/>
      <c r="I42" s="563"/>
      <c r="J42" s="563"/>
      <c r="K42" s="563"/>
      <c r="L42" s="563"/>
      <c r="M42" s="563"/>
      <c r="N42" s="560"/>
      <c r="O42" s="560"/>
      <c r="P42" s="560"/>
      <c r="Q42" s="560"/>
      <c r="R42" s="560"/>
      <c r="S42" s="560"/>
      <c r="T42" s="555"/>
      <c r="U42" s="542"/>
      <c r="V42" s="543"/>
      <c r="W42" s="544"/>
      <c r="X42" s="721"/>
      <c r="Y42" s="549"/>
      <c r="Z42" s="855"/>
      <c r="AA42" s="535"/>
      <c r="AB42" s="535"/>
      <c r="AC42" s="535"/>
      <c r="AD42" s="535"/>
      <c r="AE42" s="535"/>
      <c r="AF42" s="535"/>
      <c r="AG42" s="535"/>
      <c r="AH42" s="535"/>
      <c r="AI42" s="536"/>
      <c r="AJ42" s="1"/>
      <c r="AK42" s="1"/>
      <c r="AL42" s="1"/>
    </row>
    <row r="43" spans="1:49" ht="64.5" thickBot="1" x14ac:dyDescent="0.25">
      <c r="A43" s="594"/>
      <c r="B43" s="561"/>
      <c r="C43" s="561"/>
      <c r="D43" s="561"/>
      <c r="E43" s="561"/>
      <c r="F43" s="561"/>
      <c r="G43" s="564"/>
      <c r="H43" s="564"/>
      <c r="I43" s="564"/>
      <c r="J43" s="564"/>
      <c r="K43" s="564"/>
      <c r="L43" s="564"/>
      <c r="M43" s="564"/>
      <c r="N43" s="561"/>
      <c r="O43" s="561"/>
      <c r="P43" s="561"/>
      <c r="Q43" s="561"/>
      <c r="R43" s="561"/>
      <c r="S43" s="561"/>
      <c r="T43" s="278" t="s">
        <v>218</v>
      </c>
      <c r="U43" s="545"/>
      <c r="V43" s="546"/>
      <c r="W43" s="547"/>
      <c r="X43" s="335" t="s">
        <v>215</v>
      </c>
      <c r="Y43" s="550"/>
      <c r="Z43" s="856"/>
      <c r="AA43" s="537"/>
      <c r="AB43" s="537"/>
      <c r="AC43" s="537"/>
      <c r="AD43" s="537"/>
      <c r="AE43" s="537"/>
      <c r="AF43" s="537"/>
      <c r="AG43" s="537"/>
      <c r="AH43" s="537"/>
      <c r="AI43" s="538"/>
      <c r="AJ43" s="1"/>
      <c r="AK43" s="1"/>
      <c r="AL43" s="1"/>
    </row>
    <row r="44" spans="1:49" s="305" customFormat="1" ht="68.25" customHeight="1" x14ac:dyDescent="0.2">
      <c r="A44" s="756" t="s">
        <v>284</v>
      </c>
      <c r="B44" s="757"/>
      <c r="C44" s="741" t="str">
        <f>IFERROR(INDEX($E$7:$E$9,MATCH(A44,$B$7:$B$9,0)),"N.A.")</f>
        <v>LIDER</v>
      </c>
      <c r="D44" s="742"/>
      <c r="E44" s="857">
        <v>1</v>
      </c>
      <c r="F44" s="858"/>
      <c r="G44" s="585" t="s">
        <v>343</v>
      </c>
      <c r="H44" s="585"/>
      <c r="I44" s="585"/>
      <c r="J44" s="585"/>
      <c r="K44" s="585"/>
      <c r="L44" s="585"/>
      <c r="M44" s="585"/>
      <c r="N44" s="182" t="s">
        <v>332</v>
      </c>
      <c r="O44" s="361">
        <v>0.75</v>
      </c>
      <c r="P44" s="185">
        <v>38374</v>
      </c>
      <c r="Q44" s="185">
        <v>39512</v>
      </c>
      <c r="R44" s="151">
        <f>4584728442/Hoja1!F24</f>
        <v>12017.63680733945</v>
      </c>
      <c r="S44" s="172">
        <v>527.6</v>
      </c>
      <c r="T44" s="160" t="str">
        <f>IF((R44)&gt;='Calificación Técnica'!$E$24,"CUMPLE","NO CUMPLE")</f>
        <v>CUMPLE</v>
      </c>
      <c r="U44" s="865" t="s">
        <v>76</v>
      </c>
      <c r="V44" s="866"/>
      <c r="W44" s="867"/>
      <c r="X44" s="768" t="str">
        <f>IF(($S$48)&gt;='Calificación Técnica'!C26,"CUMPLE","NO CUMPLE")</f>
        <v>CUMPLE</v>
      </c>
      <c r="Y44" s="362" t="s">
        <v>342</v>
      </c>
      <c r="Z44" s="859"/>
      <c r="AA44" s="860"/>
      <c r="AB44" s="358"/>
      <c r="AC44" s="358"/>
      <c r="AD44" s="358"/>
      <c r="AE44" s="358"/>
      <c r="AF44" s="358"/>
      <c r="AG44" s="358"/>
      <c r="AH44" s="358"/>
      <c r="AI44" s="359"/>
    </row>
    <row r="45" spans="1:49" ht="66" customHeight="1" x14ac:dyDescent="0.2">
      <c r="A45" s="588" t="s">
        <v>284</v>
      </c>
      <c r="B45" s="589"/>
      <c r="C45" s="531" t="str">
        <f>IFERROR(INDEX($E$7:$E$9,MATCH(A45,$B$7:$B$9,0)),"N.A.")</f>
        <v>LIDER</v>
      </c>
      <c r="D45" s="532"/>
      <c r="E45" s="743">
        <v>2</v>
      </c>
      <c r="F45" s="743"/>
      <c r="G45" s="585" t="s">
        <v>344</v>
      </c>
      <c r="H45" s="585"/>
      <c r="I45" s="585"/>
      <c r="J45" s="585"/>
      <c r="K45" s="585"/>
      <c r="L45" s="585"/>
      <c r="M45" s="585"/>
      <c r="N45" s="203" t="s">
        <v>332</v>
      </c>
      <c r="O45" s="361">
        <v>0.75</v>
      </c>
      <c r="P45" s="184">
        <v>38177</v>
      </c>
      <c r="Q45" s="184">
        <v>39637</v>
      </c>
      <c r="R45" s="151">
        <f>(2010076102)/Hoja1!F23</f>
        <v>5614.7377150837992</v>
      </c>
      <c r="S45" s="151">
        <v>38.299999999999997</v>
      </c>
      <c r="T45" s="160" t="str">
        <f>IF((R45)&gt;='Calificación Técnica'!$E$24,"CUMPLE","NO CUMPLE")</f>
        <v>CUMPLE</v>
      </c>
      <c r="U45" s="764" t="s">
        <v>76</v>
      </c>
      <c r="V45" s="765"/>
      <c r="W45" s="766"/>
      <c r="X45" s="768"/>
      <c r="Y45" s="209" t="s">
        <v>345</v>
      </c>
      <c r="Z45" s="861"/>
      <c r="AA45" s="862"/>
      <c r="AB45" s="358"/>
      <c r="AC45" s="358"/>
      <c r="AD45" s="358"/>
      <c r="AE45" s="358"/>
      <c r="AF45" s="358"/>
      <c r="AG45" s="358"/>
      <c r="AH45" s="358"/>
      <c r="AI45" s="359"/>
      <c r="AJ45" s="1"/>
      <c r="AK45" s="1"/>
      <c r="AL45" s="1"/>
    </row>
    <row r="46" spans="1:49" ht="53.25" customHeight="1" x14ac:dyDescent="0.2">
      <c r="A46" s="588" t="s">
        <v>285</v>
      </c>
      <c r="B46" s="589"/>
      <c r="C46" s="531" t="str">
        <f>IFERROR(INDEX($E$7:$E$9,MATCH(A46,$B$7:$B$9,0)),"N.A.")</f>
        <v>NO LIDER</v>
      </c>
      <c r="D46" s="532"/>
      <c r="E46" s="743">
        <v>3</v>
      </c>
      <c r="F46" s="743"/>
      <c r="G46" s="744" t="s">
        <v>337</v>
      </c>
      <c r="H46" s="744"/>
      <c r="I46" s="744"/>
      <c r="J46" s="744"/>
      <c r="K46" s="744"/>
      <c r="L46" s="744"/>
      <c r="M46" s="744"/>
      <c r="N46" s="203" t="s">
        <v>346</v>
      </c>
      <c r="O46" s="183">
        <v>0.33</v>
      </c>
      <c r="P46" s="185">
        <v>39792</v>
      </c>
      <c r="Q46" s="185">
        <v>40977</v>
      </c>
      <c r="R46" s="151">
        <f>4790880852/461500</f>
        <v>10381.106938244853</v>
      </c>
      <c r="S46" s="163">
        <f>73.4+93.7</f>
        <v>167.10000000000002</v>
      </c>
      <c r="T46" s="160" t="str">
        <f>IF((R46)&gt;='Calificación Técnica'!$E$24,"CUMPLE","NO CUMPLE")</f>
        <v>CUMPLE</v>
      </c>
      <c r="U46" s="764" t="s">
        <v>76</v>
      </c>
      <c r="V46" s="765"/>
      <c r="W46" s="766"/>
      <c r="X46" s="768"/>
      <c r="Y46" s="209" t="s">
        <v>347</v>
      </c>
      <c r="Z46" s="861"/>
      <c r="AA46" s="862"/>
      <c r="AB46" s="358"/>
      <c r="AC46" s="358"/>
      <c r="AD46" s="358"/>
      <c r="AE46" s="358"/>
      <c r="AF46" s="358"/>
      <c r="AG46" s="358"/>
      <c r="AH46" s="358"/>
      <c r="AI46" s="359"/>
      <c r="AJ46" s="1"/>
      <c r="AK46" s="1"/>
      <c r="AL46" s="1"/>
    </row>
    <row r="47" spans="1:49" ht="40.5" customHeight="1" thickBot="1" x14ac:dyDescent="0.25">
      <c r="A47" s="606" t="s">
        <v>285</v>
      </c>
      <c r="B47" s="607"/>
      <c r="C47" s="586" t="str">
        <f>IFERROR(INDEX($E$7:$E$9,MATCH(A47,$B$7:$B$9,0)),"N.A.")</f>
        <v>NO LIDER</v>
      </c>
      <c r="D47" s="587"/>
      <c r="E47" s="771">
        <v>4</v>
      </c>
      <c r="F47" s="771"/>
      <c r="G47" s="772" t="s">
        <v>348</v>
      </c>
      <c r="H47" s="772"/>
      <c r="I47" s="772"/>
      <c r="J47" s="772"/>
      <c r="K47" s="772"/>
      <c r="L47" s="772"/>
      <c r="M47" s="772"/>
      <c r="N47" s="204" t="s">
        <v>346</v>
      </c>
      <c r="O47" s="346">
        <v>1</v>
      </c>
      <c r="P47" s="347">
        <v>38321</v>
      </c>
      <c r="Q47" s="347">
        <v>39901</v>
      </c>
      <c r="R47" s="348">
        <f>+(1001339503+542076481+66561953+66976006)/Hoja1!F23</f>
        <v>4684.2288910614525</v>
      </c>
      <c r="S47" s="349">
        <v>188.34</v>
      </c>
      <c r="T47" s="430" t="str">
        <f>IF((R47)&gt;='Calificación Técnica'!$E$24,"CUMPLE","NO CUMPLE")</f>
        <v>CUMPLE</v>
      </c>
      <c r="U47" s="773" t="s">
        <v>76</v>
      </c>
      <c r="V47" s="774"/>
      <c r="W47" s="775"/>
      <c r="X47" s="769"/>
      <c r="Y47" s="210" t="s">
        <v>349</v>
      </c>
      <c r="Z47" s="863"/>
      <c r="AA47" s="864"/>
      <c r="AB47" s="391"/>
      <c r="AC47" s="391"/>
      <c r="AD47" s="391"/>
      <c r="AE47" s="391"/>
      <c r="AF47" s="391"/>
      <c r="AG47" s="391"/>
      <c r="AH47" s="391"/>
      <c r="AI47" s="392"/>
      <c r="AJ47" s="1"/>
      <c r="AK47" s="1"/>
      <c r="AL47" s="1"/>
    </row>
    <row r="48" spans="1:49" x14ac:dyDescent="0.2">
      <c r="S48" s="166">
        <f>SUM(S44:S46)</f>
        <v>733</v>
      </c>
      <c r="T48" s="169" t="s">
        <v>76</v>
      </c>
      <c r="U48" s="2"/>
      <c r="V48" s="2"/>
      <c r="W48" s="2"/>
      <c r="X48" s="2"/>
      <c r="AE48" s="1"/>
      <c r="AF48" s="1"/>
      <c r="AG48" s="1"/>
      <c r="AH48" s="1"/>
      <c r="AI48" s="1"/>
      <c r="AJ48" s="1"/>
      <c r="AK48" s="1"/>
      <c r="AL48" s="1"/>
    </row>
    <row r="49" spans="19:19" x14ac:dyDescent="0.2">
      <c r="S49" s="157"/>
    </row>
  </sheetData>
  <sheetProtection formatColumns="0" formatRows="0"/>
  <mergeCells count="150">
    <mergeCell ref="Z46:AA46"/>
    <mergeCell ref="Z47:AA47"/>
    <mergeCell ref="G44:M44"/>
    <mergeCell ref="Y41:Y43"/>
    <mergeCell ref="U41:W43"/>
    <mergeCell ref="X44:X47"/>
    <mergeCell ref="Q41:Q43"/>
    <mergeCell ref="X41:X42"/>
    <mergeCell ref="U45:W45"/>
    <mergeCell ref="U44:W44"/>
    <mergeCell ref="A46:B46"/>
    <mergeCell ref="C47:D47"/>
    <mergeCell ref="E47:F47"/>
    <mergeCell ref="A47:B47"/>
    <mergeCell ref="G47:M47"/>
    <mergeCell ref="U47:W47"/>
    <mergeCell ref="C46:D46"/>
    <mergeCell ref="E46:F46"/>
    <mergeCell ref="G46:M46"/>
    <mergeCell ref="U46:W46"/>
    <mergeCell ref="A45:B45"/>
    <mergeCell ref="O41:O43"/>
    <mergeCell ref="P41:P43"/>
    <mergeCell ref="E36:F36"/>
    <mergeCell ref="G36:K36"/>
    <mergeCell ref="C45:D45"/>
    <mergeCell ref="E45:F45"/>
    <mergeCell ref="G45:M45"/>
    <mergeCell ref="Z41:AI43"/>
    <mergeCell ref="A44:B44"/>
    <mergeCell ref="C44:D44"/>
    <mergeCell ref="E44:F44"/>
    <mergeCell ref="U36:AA36"/>
    <mergeCell ref="T41:T42"/>
    <mergeCell ref="A41:B43"/>
    <mergeCell ref="C41:D43"/>
    <mergeCell ref="E41:F43"/>
    <mergeCell ref="G41:M43"/>
    <mergeCell ref="R41:R43"/>
    <mergeCell ref="S41:S43"/>
    <mergeCell ref="A36:B36"/>
    <mergeCell ref="N41:N43"/>
    <mergeCell ref="Z44:AA44"/>
    <mergeCell ref="Z45:AA45"/>
    <mergeCell ref="R24:X24"/>
    <mergeCell ref="A25:B25"/>
    <mergeCell ref="C25:D25"/>
    <mergeCell ref="E25:F25"/>
    <mergeCell ref="G25:K25"/>
    <mergeCell ref="P25:P28"/>
    <mergeCell ref="R25:X25"/>
    <mergeCell ref="A24:B24"/>
    <mergeCell ref="C24:D24"/>
    <mergeCell ref="E24:F24"/>
    <mergeCell ref="R28:X28"/>
    <mergeCell ref="A27:B27"/>
    <mergeCell ref="C27:D27"/>
    <mergeCell ref="E27:F27"/>
    <mergeCell ref="G24:K24"/>
    <mergeCell ref="A26:B26"/>
    <mergeCell ref="C26:D26"/>
    <mergeCell ref="E26:F26"/>
    <mergeCell ref="G26:K26"/>
    <mergeCell ref="R26:X26"/>
    <mergeCell ref="A28:B28"/>
    <mergeCell ref="C28:D28"/>
    <mergeCell ref="E28:F28"/>
    <mergeCell ref="G28:K28"/>
    <mergeCell ref="C20:D20"/>
    <mergeCell ref="E20:F20"/>
    <mergeCell ref="G20:H20"/>
    <mergeCell ref="L20:Q20"/>
    <mergeCell ref="C18:D18"/>
    <mergeCell ref="E18:F18"/>
    <mergeCell ref="G18:H18"/>
    <mergeCell ref="L18:Q18"/>
    <mergeCell ref="C19:D19"/>
    <mergeCell ref="G17:H17"/>
    <mergeCell ref="L17:Q17"/>
    <mergeCell ref="C10:D10"/>
    <mergeCell ref="E10:F10"/>
    <mergeCell ref="G10:H10"/>
    <mergeCell ref="I10:J10"/>
    <mergeCell ref="P10:U10"/>
    <mergeCell ref="E19:F19"/>
    <mergeCell ref="G19:H19"/>
    <mergeCell ref="L19:Q19"/>
    <mergeCell ref="K14:K15"/>
    <mergeCell ref="L14:Q15"/>
    <mergeCell ref="C16:D16"/>
    <mergeCell ref="E16:F16"/>
    <mergeCell ref="L16:Q16"/>
    <mergeCell ref="C17:D17"/>
    <mergeCell ref="E17:F17"/>
    <mergeCell ref="P9:U9"/>
    <mergeCell ref="A14:A15"/>
    <mergeCell ref="B14:B15"/>
    <mergeCell ref="C14:F15"/>
    <mergeCell ref="G14:H15"/>
    <mergeCell ref="I14:J14"/>
    <mergeCell ref="C8:D8"/>
    <mergeCell ref="E8:F8"/>
    <mergeCell ref="G8:H8"/>
    <mergeCell ref="I8:J8"/>
    <mergeCell ref="A4:A5"/>
    <mergeCell ref="B4:B5"/>
    <mergeCell ref="C4:F5"/>
    <mergeCell ref="G4:H5"/>
    <mergeCell ref="I4:N4"/>
    <mergeCell ref="O4:O5"/>
    <mergeCell ref="P4:U5"/>
    <mergeCell ref="G27:K27"/>
    <mergeCell ref="R27:X27"/>
    <mergeCell ref="I5:J5"/>
    <mergeCell ref="C6:D6"/>
    <mergeCell ref="E6:F6"/>
    <mergeCell ref="G6:M6"/>
    <mergeCell ref="P6:U6"/>
    <mergeCell ref="C7:D7"/>
    <mergeCell ref="E7:F7"/>
    <mergeCell ref="G7:H7"/>
    <mergeCell ref="I7:J7"/>
    <mergeCell ref="P7:U7"/>
    <mergeCell ref="P8:U8"/>
    <mergeCell ref="C9:D9"/>
    <mergeCell ref="E9:F9"/>
    <mergeCell ref="G9:H9"/>
    <mergeCell ref="I9:J9"/>
    <mergeCell ref="A32:B32"/>
    <mergeCell ref="C32:D32"/>
    <mergeCell ref="E32:F32"/>
    <mergeCell ref="G32:K32"/>
    <mergeCell ref="U32:AA32"/>
    <mergeCell ref="A33:B33"/>
    <mergeCell ref="C33:D33"/>
    <mergeCell ref="E33:F33"/>
    <mergeCell ref="G33:K33"/>
    <mergeCell ref="S33:S36"/>
    <mergeCell ref="U33:AA33"/>
    <mergeCell ref="A34:B34"/>
    <mergeCell ref="C34:D34"/>
    <mergeCell ref="E34:F34"/>
    <mergeCell ref="G34:K34"/>
    <mergeCell ref="C36:D36"/>
    <mergeCell ref="U34:AA34"/>
    <mergeCell ref="A35:B35"/>
    <mergeCell ref="C35:D35"/>
    <mergeCell ref="E35:F35"/>
    <mergeCell ref="G35:K35"/>
    <mergeCell ref="U35:AA35"/>
  </mergeCells>
  <conditionalFormatting sqref="P25:P26 T44:T47 S33 J16 N6 R33:R36">
    <cfRule type="cellIs" dxfId="15" priority="10" stopIfTrue="1" operator="equal">
      <formula>"NO HABIL"</formula>
    </cfRule>
  </conditionalFormatting>
  <dataValidations disablePrompts="1" count="3">
    <dataValidation type="list" allowBlank="1" showInputMessage="1" showErrorMessage="1" sqref="A44:B47 A25:A28 B28 B25:B26 A33:A36 B36 B33:B34">
      <formula1>$B$7:$B$9</formula1>
    </dataValidation>
    <dataValidation type="list" allowBlank="1" showInputMessage="1" showErrorMessage="1" sqref="G7:H11">
      <formula1>$AM$7:$AM$8</formula1>
    </dataValidation>
    <dataValidation type="list" allowBlank="1" showInputMessage="1" showErrorMessage="1" sqref="K7:L11 M10:M11">
      <formula1>$AN$7:$AN$8</formula1>
    </dataValidation>
  </dataValidations>
  <printOptions horizontalCentered="1" verticalCentered="1"/>
  <pageMargins left="0.23622047244094491" right="0.23622047244094491" top="0.78740157480314965" bottom="0.35433070866141736" header="0.51181102362204722" footer="0.51181102362204722"/>
  <pageSetup paperSize="5" scale="44" orientation="landscape" r:id="rId1"/>
  <headerFooter alignWithMargins="0"/>
  <rowBreaks count="1" manualBreakCount="1">
    <brk id="29"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8"/>
  <sheetViews>
    <sheetView workbookViewId="0">
      <selection activeCell="D9" sqref="D9"/>
    </sheetView>
  </sheetViews>
  <sheetFormatPr baseColWidth="10" defaultRowHeight="12.75" x14ac:dyDescent="0.2"/>
  <cols>
    <col min="2" max="2" width="14.7109375" customWidth="1"/>
    <col min="3" max="3" width="16.5703125" customWidth="1"/>
    <col min="4" max="4" width="24.7109375" customWidth="1"/>
  </cols>
  <sheetData>
    <row r="1" spans="1:4" ht="13.5" thickBot="1" x14ac:dyDescent="0.25"/>
    <row r="2" spans="1:4" x14ac:dyDescent="0.2">
      <c r="A2" s="837" t="s">
        <v>140</v>
      </c>
      <c r="B2" s="838"/>
      <c r="C2" s="838"/>
      <c r="D2" s="839"/>
    </row>
    <row r="3" spans="1:4" ht="63.75" x14ac:dyDescent="0.2">
      <c r="A3" s="161" t="s">
        <v>141</v>
      </c>
      <c r="B3" s="159" t="s">
        <v>149</v>
      </c>
      <c r="C3" s="159" t="s">
        <v>142</v>
      </c>
      <c r="D3" s="306" t="str">
        <f>'P5'!B6</f>
        <v>CONSORCIO INTERCONCESIONES 2014</v>
      </c>
    </row>
    <row r="4" spans="1:4" ht="25.5" customHeight="1" x14ac:dyDescent="0.2">
      <c r="A4" s="834" t="s">
        <v>143</v>
      </c>
      <c r="B4" s="728">
        <v>100</v>
      </c>
      <c r="C4" s="158">
        <v>1</v>
      </c>
      <c r="D4" s="868">
        <v>900</v>
      </c>
    </row>
    <row r="5" spans="1:4" ht="25.5" customHeight="1" x14ac:dyDescent="0.2">
      <c r="A5" s="835"/>
      <c r="B5" s="728"/>
      <c r="C5" s="158">
        <v>2</v>
      </c>
      <c r="D5" s="869"/>
    </row>
    <row r="6" spans="1:4" ht="25.5" customHeight="1" x14ac:dyDescent="0.2">
      <c r="A6" s="835"/>
      <c r="B6" s="728"/>
      <c r="C6" s="158">
        <v>3</v>
      </c>
      <c r="D6" s="869"/>
    </row>
    <row r="7" spans="1:4" ht="25.5" customHeight="1" x14ac:dyDescent="0.2">
      <c r="A7" s="836"/>
      <c r="B7" s="728"/>
      <c r="C7" s="158">
        <v>4</v>
      </c>
      <c r="D7" s="870"/>
    </row>
    <row r="8" spans="1:4" ht="13.5" thickBot="1" x14ac:dyDescent="0.25">
      <c r="A8" s="725" t="s">
        <v>144</v>
      </c>
      <c r="B8" s="726"/>
      <c r="C8" s="726"/>
      <c r="D8" s="307">
        <v>1000</v>
      </c>
    </row>
  </sheetData>
  <mergeCells count="5">
    <mergeCell ref="A8:C8"/>
    <mergeCell ref="A2:D2"/>
    <mergeCell ref="A4:A7"/>
    <mergeCell ref="B4:B7"/>
    <mergeCell ref="D4:D7"/>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50"/>
  <sheetViews>
    <sheetView tabSelected="1" view="pageBreakPreview" topLeftCell="A19" zoomScale="40" zoomScaleNormal="80" zoomScaleSheetLayoutView="40" workbookViewId="0">
      <selection activeCell="K5" sqref="K5"/>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5.8554687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14" style="1" customWidth="1"/>
    <col min="13" max="13" width="22.28515625" style="1" bestFit="1" customWidth="1"/>
    <col min="14" max="14" width="17.7109375" style="1" customWidth="1"/>
    <col min="15" max="16" width="23.7109375" style="1" customWidth="1"/>
    <col min="17" max="18" width="20.28515625" style="1" customWidth="1"/>
    <col min="19" max="19" width="17.28515625" style="1" customWidth="1"/>
    <col min="20" max="20" width="18.28515625" style="3" customWidth="1"/>
    <col min="21" max="21" width="17.7109375" style="3" customWidth="1"/>
    <col min="22" max="23" width="17.5703125" style="3" customWidth="1"/>
    <col min="24" max="24" width="21.7109375" style="3" customWidth="1"/>
    <col min="25" max="25" width="12.42578125" style="2" customWidth="1"/>
    <col min="26" max="26" width="14.85546875" style="2" hidden="1" customWidth="1"/>
    <col min="27" max="27" width="3.140625" style="2" customWidth="1"/>
    <col min="28" max="30" width="14.85546875" style="2" customWidth="1"/>
    <col min="31" max="31" width="12.42578125" style="2" bestFit="1" customWidth="1"/>
    <col min="32" max="32" width="17.42578125" style="2" customWidth="1"/>
    <col min="33" max="33" width="19" style="2" customWidth="1"/>
    <col min="34" max="34" width="16.85546875" style="2" customWidth="1"/>
    <col min="35" max="35" width="17.28515625" style="2" customWidth="1"/>
    <col min="36" max="36" width="17" style="2" customWidth="1"/>
    <col min="37" max="37" width="17.28515625" style="2" customWidth="1"/>
    <col min="38" max="38" width="16.7109375" style="2" customWidth="1"/>
    <col min="39" max="39" width="16.85546875" style="1" customWidth="1"/>
    <col min="40" max="40" width="16.5703125" style="1" customWidth="1"/>
    <col min="41" max="42" width="16.42578125" style="1" customWidth="1"/>
    <col min="43" max="43" width="5" style="1" bestFit="1" customWidth="1"/>
    <col min="44" max="44" width="2.28515625" style="1" bestFit="1" customWidth="1"/>
    <col min="45" max="45" width="5" style="1" bestFit="1" customWidth="1"/>
    <col min="46" max="46" width="5.5703125" style="1" bestFit="1" customWidth="1"/>
    <col min="47" max="47" width="6.5703125" style="1" bestFit="1" customWidth="1"/>
    <col min="48" max="48" width="2.42578125" style="1" bestFit="1" customWidth="1"/>
    <col min="49" max="49" width="8.7109375" style="1" bestFit="1" customWidth="1"/>
    <col min="50" max="50" width="11.42578125" style="1" bestFit="1" customWidth="1"/>
    <col min="51" max="16384" width="11.5703125" style="1"/>
  </cols>
  <sheetData>
    <row r="1" spans="1:49" ht="21" customHeight="1" x14ac:dyDescent="0.2">
      <c r="A1" s="90" t="s">
        <v>146</v>
      </c>
    </row>
    <row r="2" spans="1:49" ht="8.25" customHeight="1" x14ac:dyDescent="0.2"/>
    <row r="3" spans="1:49"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c r="AH3" s="79"/>
      <c r="AI3" s="79"/>
      <c r="AJ3" s="79"/>
      <c r="AK3" s="79"/>
      <c r="AL3" s="79"/>
    </row>
    <row r="4" spans="1:49"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t="s">
        <v>129</v>
      </c>
      <c r="AC4" s="85" t="s">
        <v>130</v>
      </c>
      <c r="AD4" s="85" t="s">
        <v>131</v>
      </c>
      <c r="AE4" s="85" t="s">
        <v>132</v>
      </c>
      <c r="AF4" s="85" t="s">
        <v>137</v>
      </c>
      <c r="AG4" s="153" t="s">
        <v>138</v>
      </c>
      <c r="AH4" s="85"/>
      <c r="AI4" s="85"/>
      <c r="AJ4" s="85"/>
      <c r="AK4" s="85"/>
      <c r="AL4" s="85"/>
    </row>
    <row r="5" spans="1:49" ht="93.75" customHeight="1" x14ac:dyDescent="0.2">
      <c r="A5" s="677" t="s">
        <v>1</v>
      </c>
      <c r="B5" s="679"/>
      <c r="C5" s="683"/>
      <c r="D5" s="684"/>
      <c r="E5" s="684"/>
      <c r="F5" s="685"/>
      <c r="G5" s="683"/>
      <c r="H5" s="685"/>
      <c r="I5" s="697" t="s">
        <v>124</v>
      </c>
      <c r="J5" s="698"/>
      <c r="K5" s="240" t="s">
        <v>109</v>
      </c>
      <c r="L5" s="251" t="s">
        <v>162</v>
      </c>
      <c r="M5" s="240" t="s">
        <v>148</v>
      </c>
      <c r="N5" s="240" t="s">
        <v>67</v>
      </c>
      <c r="O5" s="690"/>
      <c r="P5" s="694"/>
      <c r="Q5" s="695"/>
      <c r="R5" s="695"/>
      <c r="S5" s="695"/>
      <c r="T5" s="695"/>
      <c r="U5" s="696"/>
      <c r="V5" s="82"/>
      <c r="W5" s="82"/>
      <c r="X5" s="82"/>
      <c r="Y5" s="86"/>
      <c r="Z5" s="86"/>
      <c r="AA5" s="86"/>
      <c r="AB5" s="85">
        <v>1</v>
      </c>
      <c r="AC5" s="139">
        <v>7067480705</v>
      </c>
      <c r="AD5" s="139">
        <f>+AC5*1.5</f>
        <v>10601221057.5</v>
      </c>
      <c r="AE5" s="141">
        <f>+AD5/566700</f>
        <v>18706.936752249869</v>
      </c>
      <c r="AF5" s="141">
        <f>+AC5/566700</f>
        <v>12471.291168166579</v>
      </c>
      <c r="AG5" s="154">
        <v>163.21</v>
      </c>
      <c r="AH5" s="86"/>
      <c r="AI5" s="86"/>
      <c r="AJ5" s="86"/>
      <c r="AK5" s="86"/>
      <c r="AL5" s="1"/>
    </row>
    <row r="6" spans="1:49" ht="27" customHeight="1" thickBot="1" x14ac:dyDescent="0.25">
      <c r="A6" s="236">
        <v>6</v>
      </c>
      <c r="B6" s="103" t="str">
        <f>INDEX(PROPONENTES!B1:B8,MATCH(A6,PROPONENTES!A1:A8,0))</f>
        <v>CONSORCIO INTERVENTORES NORTE DE SANTANDER</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v>2</v>
      </c>
      <c r="AC6" s="139">
        <v>4386497161</v>
      </c>
      <c r="AD6" s="140" t="e">
        <f>#N/A</f>
        <v>#N/A</v>
      </c>
      <c r="AE6" s="141" t="e">
        <f>#N/A</f>
        <v>#N/A</v>
      </c>
      <c r="AF6" s="141">
        <f>+AC6/566700</f>
        <v>7740.422023998588</v>
      </c>
      <c r="AG6" s="154">
        <v>297.10000000000002</v>
      </c>
      <c r="AH6" s="80"/>
      <c r="AI6" s="80"/>
      <c r="AJ6" s="80"/>
      <c r="AK6" s="80"/>
      <c r="AL6" s="1"/>
    </row>
    <row r="7" spans="1:49" ht="30.75" customHeight="1" thickTop="1" x14ac:dyDescent="0.2">
      <c r="A7" s="105" t="str">
        <f>CONCATENATE($A$6,"A")</f>
        <v>6A</v>
      </c>
      <c r="B7" s="106" t="str">
        <f>IFERROR(INDEX(PROPONENTES!$F$1:$F$26,MATCH(A7,PROPONENTES!$E$1:$E$26,0)),"")</f>
        <v>INTERVENTORIAS Y DISEÑOS S.A.</v>
      </c>
      <c r="C7" s="707">
        <f>IFERROR(INDEX(PROPONENTES!$H$1:$H$26,MATCH(A7,PROPONENTES!$E$1:$E$26,0)),"")</f>
        <v>0.69</v>
      </c>
      <c r="D7" s="707"/>
      <c r="E7" s="638" t="str">
        <f>IF(B7="","N. A.",IF(C7&lt;=40%,"NO LIDER","LIDER"))</f>
        <v>LIDER</v>
      </c>
      <c r="F7" s="638"/>
      <c r="G7" s="670" t="s">
        <v>77</v>
      </c>
      <c r="H7" s="670"/>
      <c r="I7" s="638" t="str">
        <f>IF(B7="","N.A.",IF(OR(G7="E"),"APLICA FORMATO 1","APLICA RUP"))</f>
        <v>APLICA RUP</v>
      </c>
      <c r="J7" s="638"/>
      <c r="K7" s="227" t="s">
        <v>78</v>
      </c>
      <c r="L7" s="227" t="s">
        <v>78</v>
      </c>
      <c r="M7" s="88" t="s">
        <v>108</v>
      </c>
      <c r="N7" s="97" t="str">
        <f>IF(B7="","N. A.",IF(AND(K7="SI",L7="SI",M7="N.A."),"HABIL","NO HABIL"))</f>
        <v>HABIL</v>
      </c>
      <c r="O7" s="229">
        <v>40</v>
      </c>
      <c r="P7" s="666"/>
      <c r="Q7" s="667"/>
      <c r="R7" s="667"/>
      <c r="S7" s="667"/>
      <c r="T7" s="667"/>
      <c r="U7" s="668"/>
      <c r="V7" s="83"/>
      <c r="W7" s="83"/>
      <c r="X7" s="83"/>
      <c r="Y7" s="81"/>
      <c r="Z7" s="81"/>
      <c r="AA7" s="81"/>
      <c r="AB7" s="85">
        <v>3</v>
      </c>
      <c r="AC7" s="139">
        <v>3714537836</v>
      </c>
      <c r="AD7" s="140" t="e">
        <f>#N/A</f>
        <v>#N/A</v>
      </c>
      <c r="AE7" s="141" t="e">
        <f>#N/A</f>
        <v>#N/A</v>
      </c>
      <c r="AF7" s="141" t="e">
        <f>#N/A</f>
        <v>#N/A</v>
      </c>
      <c r="AG7" s="154">
        <v>38.299999999999997</v>
      </c>
      <c r="AH7" s="81"/>
      <c r="AI7" s="81"/>
      <c r="AJ7" s="81"/>
      <c r="AK7" s="81"/>
      <c r="AL7" s="1"/>
      <c r="AM7" s="88" t="s">
        <v>77</v>
      </c>
      <c r="AN7" s="88" t="s">
        <v>78</v>
      </c>
      <c r="AO7" s="88" t="e">
        <f>IF(#REF!="HABIL",1,0)</f>
        <v>#REF!</v>
      </c>
      <c r="AP7" s="89" t="e">
        <f>SUM(AO7:AO10)</f>
        <v>#REF!</v>
      </c>
      <c r="AQ7" s="88" t="e">
        <f>IF(#REF!="HABIL",1,0)</f>
        <v>#REF!</v>
      </c>
      <c r="AR7" s="89" t="e">
        <f>SUM(AQ7:AQ10)</f>
        <v>#REF!</v>
      </c>
      <c r="AS7" s="88">
        <f>IF(B7="",0,IF(G7="O",17420*C7,0))</f>
        <v>12019.8</v>
      </c>
      <c r="AT7" s="88">
        <f>SUM(AS7:AS10)</f>
        <v>17420</v>
      </c>
      <c r="AU7" s="88" t="s">
        <v>74</v>
      </c>
      <c r="AV7" s="88" t="s">
        <v>76</v>
      </c>
      <c r="AW7" s="88">
        <v>0</v>
      </c>
    </row>
    <row r="8" spans="1:49" ht="29.25" customHeight="1" x14ac:dyDescent="0.2">
      <c r="A8" s="107" t="str">
        <f>CONCATENATE($A$6,"B")</f>
        <v>6B</v>
      </c>
      <c r="B8" s="106" t="str">
        <f>IFERROR(INDEX(PROPONENTES!$F$1:$F$26,MATCH(A8,PROPONENTES!$E$1:$E$26,0)),"")</f>
        <v>SERVINC LTDA</v>
      </c>
      <c r="C8" s="707">
        <f>IFERROR(INDEX(PROPONENTES!$H$1:$H$26,MATCH(A8,PROPONENTES!$E$1:$E$26,0)),"")</f>
        <v>0.3</v>
      </c>
      <c r="D8" s="707"/>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50</v>
      </c>
      <c r="P8" s="666"/>
      <c r="Q8" s="667"/>
      <c r="R8" s="667"/>
      <c r="S8" s="667"/>
      <c r="T8" s="667"/>
      <c r="U8" s="668"/>
      <c r="V8" s="83"/>
      <c r="W8" s="83"/>
      <c r="X8" s="83"/>
      <c r="Y8" s="81"/>
      <c r="Z8" s="81"/>
      <c r="AA8" s="81"/>
      <c r="AB8" s="85">
        <v>4</v>
      </c>
      <c r="AC8" s="139">
        <v>2398084008</v>
      </c>
      <c r="AD8" s="140" t="e">
        <f>#N/A</f>
        <v>#N/A</v>
      </c>
      <c r="AE8" s="141" t="e">
        <f>#N/A</f>
        <v>#N/A</v>
      </c>
      <c r="AF8" s="141" t="e">
        <f>#N/A</f>
        <v>#N/A</v>
      </c>
      <c r="AG8" s="154">
        <v>54.4</v>
      </c>
      <c r="AH8" s="81"/>
      <c r="AI8" s="81"/>
      <c r="AJ8" s="81"/>
      <c r="AK8" s="81"/>
      <c r="AL8" s="1"/>
      <c r="AM8" s="88" t="s">
        <v>79</v>
      </c>
      <c r="AN8" s="88" t="s">
        <v>111</v>
      </c>
      <c r="AO8" s="88" t="e">
        <f>IF(#REF!="HABIL",1,0)</f>
        <v>#REF!</v>
      </c>
      <c r="AP8" s="89"/>
      <c r="AQ8" s="88" t="e">
        <f>IF(#REF!="HABIL",1,0)</f>
        <v>#REF!</v>
      </c>
      <c r="AR8" s="88"/>
      <c r="AS8" s="88">
        <f>IF(B8="",0,IF(G8="O",17420*C8,0))</f>
        <v>5226</v>
      </c>
      <c r="AU8" s="88" t="s">
        <v>75</v>
      </c>
      <c r="AV8" s="88" t="s">
        <v>108</v>
      </c>
      <c r="AW8" s="88">
        <v>150</v>
      </c>
    </row>
    <row r="9" spans="1:49" ht="27.75" customHeight="1" x14ac:dyDescent="0.2">
      <c r="A9" s="107" t="str">
        <f>CONCATENATE($A$6,"C")</f>
        <v>6C</v>
      </c>
      <c r="B9" s="106" t="str">
        <f>IFERROR(INDEX(PROPONENTES!$F$1:$F$26,MATCH(A9,PROPONENTES!$E$1:$E$26,0)),"")</f>
        <v>BRAIN INGENIERÍA S.A.S.</v>
      </c>
      <c r="C9" s="707">
        <f>IFERROR(INDEX(PROPONENTES!$H$1:$H$26,MATCH(A9,PROPONENTES!$E$1:$E$26,0)),"")</f>
        <v>0.01</v>
      </c>
      <c r="D9" s="707"/>
      <c r="E9" s="638" t="str">
        <f>IF(B9="","N. A.",IF(C9&lt;=40%,"NO LIDER","LIDER"))</f>
        <v>NO LIDER</v>
      </c>
      <c r="F9" s="638"/>
      <c r="G9" s="670" t="s">
        <v>77</v>
      </c>
      <c r="H9" s="670"/>
      <c r="I9" s="639" t="str">
        <f>IF(B9="","N.A.",IF(OR(G9="E"),"APLICA FORMATO 1","APLICA RUP"))</f>
        <v>APLICA RUP</v>
      </c>
      <c r="J9" s="639"/>
      <c r="K9" s="168" t="s">
        <v>78</v>
      </c>
      <c r="L9" s="168" t="s">
        <v>78</v>
      </c>
      <c r="M9" s="250" t="s">
        <v>108</v>
      </c>
      <c r="N9" s="48" t="str">
        <f>IF(B9="","N. A.",IF(AND(K9="SI",L9="SI",M9="N.A."),"HABIL","NO HABIL"))</f>
        <v>HABIL</v>
      </c>
      <c r="O9" s="230">
        <v>65</v>
      </c>
      <c r="P9" s="666"/>
      <c r="Q9" s="667"/>
      <c r="R9" s="667"/>
      <c r="S9" s="667"/>
      <c r="T9" s="667"/>
      <c r="U9" s="668"/>
      <c r="V9" s="83"/>
      <c r="W9" s="83"/>
      <c r="X9" s="83"/>
      <c r="Y9" s="81"/>
      <c r="Z9" s="81"/>
      <c r="AA9" s="81"/>
      <c r="AB9" s="85">
        <v>5</v>
      </c>
      <c r="AC9" s="139">
        <v>1779028594.4000001</v>
      </c>
      <c r="AD9" s="140" t="e">
        <f>#N/A</f>
        <v>#N/A</v>
      </c>
      <c r="AE9" s="141" t="e">
        <f>#N/A</f>
        <v>#N/A</v>
      </c>
      <c r="AF9" s="141" t="e">
        <f>#N/A</f>
        <v>#N/A</v>
      </c>
      <c r="AG9" s="154">
        <v>82.04</v>
      </c>
      <c r="AH9" s="81"/>
      <c r="AI9" s="81"/>
      <c r="AJ9" s="81"/>
      <c r="AK9" s="81"/>
      <c r="AL9" s="1"/>
      <c r="AM9" s="88"/>
      <c r="AN9" s="88"/>
      <c r="AO9" s="88" t="e">
        <f>IF(#REF!="HABIL",1,0)</f>
        <v>#REF!</v>
      </c>
      <c r="AP9" s="89"/>
      <c r="AQ9" s="88" t="e">
        <f>IF(#REF!="HABIL",1,0)</f>
        <v>#REF!</v>
      </c>
      <c r="AR9" s="88"/>
      <c r="AS9" s="88">
        <f>IF(B9="",0,IF(G9="O",17420*C9,0))</f>
        <v>174.20000000000002</v>
      </c>
      <c r="AW9" s="88" t="s">
        <v>120</v>
      </c>
    </row>
    <row r="10" spans="1:49" ht="29.25" customHeight="1" thickBot="1" x14ac:dyDescent="0.25">
      <c r="A10" s="109"/>
      <c r="B10" s="110" t="str">
        <f>IFERROR(INDEX(PROPONENTES!$F$1:$F$23,MATCH(A10,PROPONENTES!$E$1:$E$23,0)),"")</f>
        <v/>
      </c>
      <c r="C10" s="671" t="str">
        <f>IFERROR(INDEX(PROPONENTES!$H$1:$H$23,MATCH(A10,PROPONENTES!$E$1:$E$23,0)),"")</f>
        <v/>
      </c>
      <c r="D10" s="671"/>
      <c r="E10" s="628"/>
      <c r="F10" s="628"/>
      <c r="G10" s="672"/>
      <c r="H10" s="672"/>
      <c r="I10" s="628"/>
      <c r="J10" s="628"/>
      <c r="K10" s="228"/>
      <c r="L10" s="228"/>
      <c r="M10" s="228"/>
      <c r="N10" s="49"/>
      <c r="O10" s="178"/>
      <c r="P10" s="673"/>
      <c r="Q10" s="674"/>
      <c r="R10" s="674"/>
      <c r="S10" s="674"/>
      <c r="T10" s="674"/>
      <c r="U10" s="675"/>
      <c r="V10" s="83"/>
      <c r="W10" s="83"/>
      <c r="X10" s="83"/>
      <c r="Y10" s="81"/>
      <c r="Z10" s="81"/>
      <c r="AA10" s="81"/>
      <c r="AB10" s="85">
        <v>6</v>
      </c>
      <c r="AC10" s="139">
        <v>2424911490</v>
      </c>
      <c r="AD10" s="140" t="e">
        <f>#N/A</f>
        <v>#N/A</v>
      </c>
      <c r="AE10" s="141" t="e">
        <f>#N/A</f>
        <v>#N/A</v>
      </c>
      <c r="AF10" s="141" t="e">
        <f>#N/A</f>
        <v>#N/A</v>
      </c>
      <c r="AG10" s="154">
        <v>285</v>
      </c>
      <c r="AH10" s="81"/>
      <c r="AI10" s="81"/>
      <c r="AJ10" s="81"/>
      <c r="AK10" s="81"/>
      <c r="AL10" s="1"/>
      <c r="AM10" s="88"/>
      <c r="AN10" s="88"/>
      <c r="AO10" s="88" t="e">
        <f>IF(#REF!="HABIL",1,0)</f>
        <v>#REF!</v>
      </c>
      <c r="AP10" s="89"/>
      <c r="AQ10" s="88" t="e">
        <f>IF(#REF!="HABIL",1,0)</f>
        <v>#REF!</v>
      </c>
      <c r="AR10" s="88"/>
      <c r="AS10" s="88">
        <f>IF(B10="",0,IF(G10="O",17420*C10,0))</f>
        <v>0</v>
      </c>
    </row>
    <row r="11" spans="1:49" ht="29.25" customHeight="1" x14ac:dyDescent="0.2">
      <c r="A11" s="142"/>
      <c r="B11" s="143"/>
      <c r="C11" s="144"/>
      <c r="D11" s="144"/>
      <c r="E11" s="123"/>
      <c r="F11" s="123"/>
      <c r="G11" s="146"/>
      <c r="H11" s="146"/>
      <c r="I11" s="123"/>
      <c r="J11" s="123"/>
      <c r="K11" s="147"/>
      <c r="L11" s="147"/>
      <c r="M11" s="147"/>
      <c r="N11" s="123"/>
      <c r="O11" s="123"/>
      <c r="P11" s="145"/>
      <c r="Q11" s="145"/>
      <c r="R11" s="145"/>
      <c r="S11" s="145"/>
      <c r="T11" s="145"/>
      <c r="U11" s="145"/>
      <c r="V11" s="83"/>
      <c r="W11" s="83"/>
      <c r="X11" s="83"/>
      <c r="Y11" s="81"/>
      <c r="Z11" s="81"/>
      <c r="AA11" s="81"/>
      <c r="AB11" s="85">
        <v>7</v>
      </c>
      <c r="AC11" s="139">
        <v>4834246259</v>
      </c>
      <c r="AD11" s="140" t="e">
        <f>#N/A</f>
        <v>#N/A</v>
      </c>
      <c r="AE11" s="141" t="e">
        <f>#N/A</f>
        <v>#N/A</v>
      </c>
      <c r="AF11" s="141" t="e">
        <f>#N/A</f>
        <v>#N/A</v>
      </c>
      <c r="AG11" s="154">
        <v>66.599999999999994</v>
      </c>
      <c r="AH11" s="81"/>
      <c r="AI11" s="81"/>
      <c r="AJ11" s="81"/>
      <c r="AK11" s="81"/>
      <c r="AL11" s="1"/>
      <c r="AM11" s="88"/>
      <c r="AN11" s="88"/>
      <c r="AO11" s="88"/>
      <c r="AP11" s="89"/>
      <c r="AQ11" s="88"/>
      <c r="AR11" s="88"/>
      <c r="AS11" s="88"/>
    </row>
    <row r="12" spans="1:49" ht="32.25" customHeight="1" x14ac:dyDescent="0.2">
      <c r="AB12" s="85">
        <v>8</v>
      </c>
      <c r="AC12" s="139">
        <v>11012084020</v>
      </c>
      <c r="AD12" s="139">
        <f>+AC12</f>
        <v>11012084020</v>
      </c>
      <c r="AE12" s="141" t="e">
        <f>#N/A</f>
        <v>#N/A</v>
      </c>
      <c r="AF12" s="141" t="e">
        <f>#N/A</f>
        <v>#N/A</v>
      </c>
      <c r="AG12" s="154">
        <v>131.5</v>
      </c>
      <c r="AL12" s="1"/>
      <c r="AP12" s="3"/>
    </row>
    <row r="13" spans="1:49" ht="18" customHeight="1" thickBot="1" x14ac:dyDescent="0.25">
      <c r="A13" s="74" t="s">
        <v>125</v>
      </c>
      <c r="T13" s="1"/>
      <c r="Y13" s="3"/>
      <c r="AB13" s="85">
        <v>9</v>
      </c>
      <c r="AC13" s="139">
        <v>9870934329</v>
      </c>
      <c r="AD13" s="139">
        <f>+AC13</f>
        <v>9870934329</v>
      </c>
      <c r="AE13" s="141" t="e">
        <f>#N/A</f>
        <v>#N/A</v>
      </c>
      <c r="AF13" s="141" t="e">
        <f>#N/A</f>
        <v>#N/A</v>
      </c>
      <c r="AG13" s="154">
        <v>94.55</v>
      </c>
      <c r="AQ13" s="3"/>
    </row>
    <row r="14" spans="1:49"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v>10</v>
      </c>
      <c r="AC14" s="139">
        <v>6558945207.6000004</v>
      </c>
      <c r="AD14" s="139">
        <f>+AC14*1.5</f>
        <v>9838417811.4000015</v>
      </c>
      <c r="AE14" s="141" t="e">
        <f>#N/A</f>
        <v>#N/A</v>
      </c>
      <c r="AF14" s="141" t="e">
        <f>#N/A</f>
        <v>#N/A</v>
      </c>
      <c r="AG14" s="155">
        <v>325.17500000000001</v>
      </c>
      <c r="AQ14" s="3"/>
    </row>
    <row r="15" spans="1:49" ht="96.75" customHeight="1" x14ac:dyDescent="0.2">
      <c r="A15" s="654" t="s">
        <v>1</v>
      </c>
      <c r="B15" s="656"/>
      <c r="C15" s="660"/>
      <c r="D15" s="661"/>
      <c r="E15" s="661"/>
      <c r="F15" s="662"/>
      <c r="G15" s="660"/>
      <c r="H15" s="662"/>
      <c r="I15" s="47" t="s">
        <v>257</v>
      </c>
      <c r="J15" s="47" t="s">
        <v>161</v>
      </c>
      <c r="K15" s="665"/>
      <c r="L15" s="645"/>
      <c r="M15" s="646"/>
      <c r="N15" s="646"/>
      <c r="O15" s="646"/>
      <c r="P15" s="646"/>
      <c r="Q15" s="647"/>
      <c r="T15" s="1"/>
      <c r="Y15" s="3"/>
      <c r="AB15" s="85"/>
      <c r="AC15" s="139"/>
      <c r="AD15" s="139"/>
      <c r="AE15" s="141"/>
      <c r="AM15" s="2"/>
      <c r="AR15" s="3"/>
    </row>
    <row r="16" spans="1:49" ht="36.75" customHeight="1" thickBot="1" x14ac:dyDescent="0.25">
      <c r="A16" s="77">
        <f>+A6</f>
        <v>6</v>
      </c>
      <c r="B16" s="76" t="str">
        <f>+B6</f>
        <v>CONSORCIO INTERVENTORES NORTE DE SANTANDER</v>
      </c>
      <c r="C16" s="648" t="str">
        <f>+C6</f>
        <v>%</v>
      </c>
      <c r="D16" s="649"/>
      <c r="E16" s="650" t="str">
        <f>+E6</f>
        <v>Condición integrante</v>
      </c>
      <c r="F16" s="651"/>
      <c r="G16" s="91"/>
      <c r="H16" s="92"/>
      <c r="I16" s="93"/>
      <c r="J16" s="76" t="str">
        <f>IF(AND(J17="N. A.",J18="N. A.",J19="N. A.",J20="N. A."),"N. A.",IF(AS8&gt;=1,"HABIL","NO HABIL"))</f>
        <v>HABIL</v>
      </c>
      <c r="K16" s="78"/>
      <c r="L16" s="641"/>
      <c r="M16" s="642"/>
      <c r="N16" s="642"/>
      <c r="O16" s="642"/>
      <c r="P16" s="642"/>
      <c r="Q16" s="643"/>
      <c r="T16" s="1"/>
      <c r="Y16" s="3"/>
      <c r="AM16" s="2"/>
      <c r="AR16" s="3"/>
    </row>
    <row r="17" spans="1:45" ht="31.5" customHeight="1" thickTop="1" x14ac:dyDescent="0.2">
      <c r="A17" s="95" t="str">
        <f>+A7</f>
        <v>6A</v>
      </c>
      <c r="B17" s="96" t="str">
        <f>IFERROR(INDEX(PROPONENTES!$F$1:$F$26,MATCH(A17,PROPONENTES!$E$1:$E$26,0)),"")</f>
        <v>INTERVENTORIAS Y DISEÑOS S.A.</v>
      </c>
      <c r="C17" s="637">
        <f>IFERROR(INDEX(PROPONENTES!$H$1:$H$26,MATCH(A17,PROPONENTES!$E$1:$E$26,0)),"")</f>
        <v>0.69</v>
      </c>
      <c r="D17" s="638"/>
      <c r="E17" s="638" t="str">
        <f>+E7</f>
        <v>LIDER</v>
      </c>
      <c r="F17" s="638"/>
      <c r="G17" s="652" t="s">
        <v>77</v>
      </c>
      <c r="H17" s="638"/>
      <c r="I17" s="221">
        <v>43.342919999999999</v>
      </c>
      <c r="J17" s="167" t="str">
        <f>IF(B7="","N. A.",IF(AND(G7="O",I17&gt;=10),"HABIL",IF(AND(G7="O",I17&lt;10),"NO HABIL","N. A.")))</f>
        <v>HABIL</v>
      </c>
      <c r="K17" s="222">
        <v>40</v>
      </c>
      <c r="L17" s="641"/>
      <c r="M17" s="642"/>
      <c r="N17" s="642"/>
      <c r="O17" s="642"/>
      <c r="P17" s="642"/>
      <c r="Q17" s="643"/>
      <c r="T17" s="1"/>
      <c r="Y17" s="3"/>
      <c r="AM17" s="2"/>
      <c r="AR17" s="3"/>
    </row>
    <row r="18" spans="1:45" ht="39" customHeight="1" x14ac:dyDescent="0.2">
      <c r="A18" s="98" t="str">
        <f>+A8</f>
        <v>6B</v>
      </c>
      <c r="B18" s="99" t="str">
        <f>IFERROR(INDEX(PROPONENTES!$F$1:$F$26,MATCH(A18,PROPONENTES!$E$1:$E$26,0)),"")</f>
        <v>SERVINC LTDA</v>
      </c>
      <c r="C18" s="759">
        <f>IFERROR(INDEX(PROPONENTES!$H$1:$H$26,MATCH(A18,PROPONENTES!$E$1:$E$26,0)),"")</f>
        <v>0.3</v>
      </c>
      <c r="D18" s="639"/>
      <c r="E18" s="639" t="str">
        <f>+E8</f>
        <v>NO LIDER</v>
      </c>
      <c r="F18" s="639"/>
      <c r="G18" s="640" t="s">
        <v>77</v>
      </c>
      <c r="H18" s="639"/>
      <c r="I18" s="223">
        <v>20.96</v>
      </c>
      <c r="J18" s="275" t="str">
        <f>IF(B8="","N. A.",IF(AND(G8="O",I18&gt;=10),"HABIL",IF(AND(G8="O",I18&lt;10),"NO HABIL","N. A.")))</f>
        <v>HABIL</v>
      </c>
      <c r="K18" s="224">
        <v>50</v>
      </c>
      <c r="L18" s="641"/>
      <c r="M18" s="642"/>
      <c r="N18" s="642"/>
      <c r="O18" s="642"/>
      <c r="P18" s="642"/>
      <c r="Q18" s="643"/>
      <c r="T18" s="1"/>
      <c r="Y18" s="3"/>
      <c r="AM18" s="2"/>
      <c r="AR18" s="3"/>
    </row>
    <row r="19" spans="1:45" ht="27.75" customHeight="1" x14ac:dyDescent="0.2">
      <c r="A19" s="98" t="str">
        <f>+A9</f>
        <v>6C</v>
      </c>
      <c r="B19" s="99" t="str">
        <f>IFERROR(INDEX(PROPONENTES!$F$1:$F$26,MATCH(A19,PROPONENTES!$E$1:$E$26,0)),"")</f>
        <v>BRAIN INGENIERÍA S.A.S.</v>
      </c>
      <c r="C19" s="759">
        <f>IFERROR(INDEX(PROPONENTES!$H$1:$H$26,MATCH(A19,PROPONENTES!$E$1:$E$26,0)),"")</f>
        <v>0.01</v>
      </c>
      <c r="D19" s="639"/>
      <c r="E19" s="639" t="str">
        <f>+E9</f>
        <v>NO LIDER</v>
      </c>
      <c r="F19" s="639"/>
      <c r="G19" s="640" t="s">
        <v>77</v>
      </c>
      <c r="H19" s="639"/>
      <c r="I19" s="223">
        <v>24.10951</v>
      </c>
      <c r="J19" s="46" t="str">
        <f>IF(B9="","N. A.",IF(AND(G9="O",I19&gt;=10),"HABIL",IF(AND(G9="O",I19&lt;10),"NO HABIL","N. A.")))</f>
        <v>HABIL</v>
      </c>
      <c r="K19" s="224">
        <v>65</v>
      </c>
      <c r="L19" s="641"/>
      <c r="M19" s="642"/>
      <c r="N19" s="642"/>
      <c r="O19" s="642"/>
      <c r="P19" s="642"/>
      <c r="Q19" s="643"/>
      <c r="T19" s="1"/>
      <c r="Y19" s="3"/>
      <c r="AM19" s="2"/>
      <c r="AR19" s="3"/>
    </row>
    <row r="20" spans="1:45" ht="29.25" customHeight="1" thickBot="1" x14ac:dyDescent="0.25">
      <c r="A20" s="100"/>
      <c r="B20" s="101"/>
      <c r="C20" s="627"/>
      <c r="D20" s="628"/>
      <c r="E20" s="628"/>
      <c r="F20" s="628"/>
      <c r="G20" s="629"/>
      <c r="H20" s="628"/>
      <c r="I20" s="225"/>
      <c r="J20" s="75"/>
      <c r="K20" s="226"/>
      <c r="L20" s="630"/>
      <c r="M20" s="631"/>
      <c r="N20" s="631"/>
      <c r="O20" s="631"/>
      <c r="P20" s="631"/>
      <c r="Q20" s="632"/>
      <c r="T20" s="1"/>
      <c r="Y20" s="3"/>
      <c r="AM20" s="2"/>
      <c r="AR20" s="3"/>
    </row>
    <row r="21" spans="1:45" ht="29.25" customHeight="1" x14ac:dyDescent="0.2">
      <c r="A21" s="123"/>
      <c r="B21" s="124"/>
      <c r="C21" s="125"/>
      <c r="D21" s="123"/>
      <c r="E21" s="123"/>
      <c r="F21" s="123"/>
      <c r="G21" s="126"/>
      <c r="H21" s="123"/>
      <c r="I21" s="128"/>
      <c r="J21" s="129"/>
      <c r="K21" s="130"/>
      <c r="L21" s="127"/>
      <c r="M21" s="127"/>
      <c r="N21" s="127"/>
      <c r="O21" s="127"/>
      <c r="P21" s="127"/>
      <c r="Q21" s="127"/>
      <c r="T21" s="1"/>
      <c r="Y21" s="3"/>
      <c r="AM21" s="2"/>
      <c r="AR21" s="3"/>
    </row>
    <row r="22" spans="1:45" ht="16.5" thickBot="1" x14ac:dyDescent="0.25">
      <c r="A22" s="74" t="s">
        <v>151</v>
      </c>
      <c r="T22" s="1"/>
      <c r="Y22" s="3"/>
      <c r="AA22" s="113"/>
      <c r="AB22" s="113"/>
      <c r="AC22" s="113"/>
      <c r="AD22" s="113"/>
      <c r="AE22" s="113"/>
      <c r="AF22" s="113"/>
      <c r="AM22" s="2"/>
      <c r="AR22" s="3"/>
    </row>
    <row r="23" spans="1:45" ht="102" customHeight="1" x14ac:dyDescent="0.2">
      <c r="A23" s="633" t="s">
        <v>112</v>
      </c>
      <c r="B23" s="634"/>
      <c r="C23" s="635" t="s">
        <v>113</v>
      </c>
      <c r="D23" s="634"/>
      <c r="E23" s="635" t="s">
        <v>70</v>
      </c>
      <c r="F23" s="634"/>
      <c r="G23" s="619" t="s">
        <v>114</v>
      </c>
      <c r="H23" s="620"/>
      <c r="I23" s="620"/>
      <c r="J23" s="620"/>
      <c r="K23" s="636"/>
      <c r="L23" s="242" t="s">
        <v>115</v>
      </c>
      <c r="M23" s="242" t="s">
        <v>126</v>
      </c>
      <c r="N23" s="242" t="s">
        <v>117</v>
      </c>
      <c r="O23" s="242" t="s">
        <v>118</v>
      </c>
      <c r="P23" s="277" t="s">
        <v>127</v>
      </c>
      <c r="Q23" s="242" t="s">
        <v>106</v>
      </c>
      <c r="R23" s="619" t="s">
        <v>2</v>
      </c>
      <c r="S23" s="620"/>
      <c r="T23" s="620"/>
      <c r="U23" s="620"/>
      <c r="V23" s="620"/>
      <c r="W23" s="620"/>
      <c r="X23" s="620"/>
      <c r="Y23" s="621"/>
      <c r="Z23" s="114"/>
      <c r="AA23" s="114"/>
      <c r="AB23" s="114"/>
      <c r="AC23" s="114"/>
      <c r="AD23" s="114"/>
      <c r="AE23" s="114"/>
      <c r="AF23" s="111"/>
      <c r="AG23" s="111"/>
      <c r="AH23" s="111"/>
      <c r="AI23" s="111"/>
      <c r="AJ23" s="111"/>
      <c r="AK23" s="111"/>
      <c r="AL23" s="111"/>
      <c r="AQ23" s="3"/>
    </row>
    <row r="24" spans="1:45" ht="81.75" customHeight="1" x14ac:dyDescent="0.2">
      <c r="A24" s="622" t="s">
        <v>158</v>
      </c>
      <c r="B24" s="623"/>
      <c r="C24" s="531" t="str">
        <f>IFERROR(INDEX($E$7:$E$9,MATCH(A24,$B$7:$B$9,0)),"N.A.")</f>
        <v>LIDER</v>
      </c>
      <c r="D24" s="532"/>
      <c r="E24" s="531">
        <v>1</v>
      </c>
      <c r="F24" s="532"/>
      <c r="G24" s="815" t="str">
        <f>+G32</f>
        <v>Interventoría de las obras de construcción y pavimentación de la vía alterna interna a Buenaventura, sector Viaducto K7 - Interseccion Citronela, Ruta 40 Tramo 4001.</v>
      </c>
      <c r="H24" s="816"/>
      <c r="I24" s="816"/>
      <c r="J24" s="816"/>
      <c r="K24" s="817"/>
      <c r="L24" s="252" t="str">
        <f>+M32</f>
        <v>Instituto Nacional de Vías - INVÍAS</v>
      </c>
      <c r="M24" s="397" t="s">
        <v>78</v>
      </c>
      <c r="N24" s="302">
        <f>+N32</f>
        <v>37411</v>
      </c>
      <c r="O24" s="302">
        <f>+O32</f>
        <v>38776</v>
      </c>
      <c r="P24" s="755" t="s">
        <v>122</v>
      </c>
      <c r="Q24" s="181" t="str">
        <f>+T32</f>
        <v>116 a 144</v>
      </c>
      <c r="R24" s="565"/>
      <c r="S24" s="566"/>
      <c r="T24" s="566"/>
      <c r="U24" s="566"/>
      <c r="V24" s="566"/>
      <c r="W24" s="566"/>
      <c r="X24" s="566"/>
      <c r="Y24" s="567"/>
      <c r="Z24" s="112"/>
      <c r="AA24" s="112"/>
      <c r="AB24" s="112"/>
      <c r="AC24" s="112"/>
      <c r="AD24" s="112"/>
      <c r="AE24" s="112"/>
      <c r="AF24" s="112"/>
      <c r="AG24" s="112"/>
      <c r="AH24" s="112"/>
      <c r="AI24" s="112"/>
      <c r="AJ24" s="112"/>
      <c r="AK24" s="112"/>
      <c r="AL24" s="112"/>
      <c r="AN24" s="1">
        <f>IF(C24="MAP",IF(M24&gt;=30%,#REF!,#REF!*M24),0)</f>
        <v>0</v>
      </c>
      <c r="AO24" s="1">
        <f>SUM(AN24:AN26)</f>
        <v>0</v>
      </c>
      <c r="AQ24" s="3"/>
    </row>
    <row r="25" spans="1:45" ht="81" customHeight="1" x14ac:dyDescent="0.2">
      <c r="A25" s="622" t="s">
        <v>209</v>
      </c>
      <c r="B25" s="623"/>
      <c r="C25" s="531" t="str">
        <f>IFERROR(INDEX($E$7:$E$9,MATCH(A25,$B$7:$B$9,0)),"N.A.")</f>
        <v>NO LIDER</v>
      </c>
      <c r="D25" s="532"/>
      <c r="E25" s="531">
        <v>1</v>
      </c>
      <c r="F25" s="532"/>
      <c r="G25" s="571" t="str">
        <f>+G34</f>
        <v>Contrato ICCU-021-2010. 
Interventoria Técnica, Socio Ambiental, jurídica y Financiera para un periodo de la etapa de Operación y para las actividades de la etapa preoperativa de las obras adicionales de las concesiones viales del departamento de Cundinamarca</v>
      </c>
      <c r="H25" s="572"/>
      <c r="I25" s="572"/>
      <c r="J25" s="572"/>
      <c r="K25" s="573"/>
      <c r="L25" s="182" t="str">
        <f>+M34</f>
        <v>Instituto de Infraestructura y Concesiones de Cundinamarca - ICCU</v>
      </c>
      <c r="M25" s="198" t="s">
        <v>78</v>
      </c>
      <c r="N25" s="185">
        <f>+N34</f>
        <v>40331</v>
      </c>
      <c r="O25" s="185">
        <f>+O34</f>
        <v>41215</v>
      </c>
      <c r="P25" s="557"/>
      <c r="Q25" s="364" t="str">
        <f>+T34</f>
        <v>174 a 177</v>
      </c>
      <c r="R25" s="148"/>
      <c r="S25" s="149"/>
      <c r="T25" s="149"/>
      <c r="U25" s="149"/>
      <c r="V25" s="149"/>
      <c r="W25" s="149"/>
      <c r="X25" s="149"/>
      <c r="Y25" s="150"/>
      <c r="Z25" s="112"/>
      <c r="AA25" s="112"/>
      <c r="AB25" s="112"/>
      <c r="AC25" s="112"/>
      <c r="AD25" s="112"/>
      <c r="AE25" s="112"/>
      <c r="AF25" s="112"/>
      <c r="AG25" s="112"/>
      <c r="AH25" s="112"/>
      <c r="AI25" s="112"/>
      <c r="AJ25" s="112"/>
      <c r="AK25" s="112"/>
      <c r="AL25" s="112"/>
      <c r="AQ25" s="3"/>
    </row>
    <row r="26" spans="1:45" ht="68.25" customHeight="1" thickBot="1" x14ac:dyDescent="0.25">
      <c r="A26" s="751" t="s">
        <v>208</v>
      </c>
      <c r="B26" s="752"/>
      <c r="C26" s="586" t="str">
        <f>IFERROR(INDEX($E$7:$E$9,MATCH(A26,$B$7:$B$9,0)),"N.A.")</f>
        <v>NO LIDER</v>
      </c>
      <c r="D26" s="587"/>
      <c r="E26" s="586">
        <v>3</v>
      </c>
      <c r="F26" s="587"/>
      <c r="G26" s="571" t="str">
        <f>+G35</f>
        <v>CONTRATO No. IDU-182 de 2008 Interventoría Técnica, Administrativa, Financiera y Social Ambiental para la Construcción de accesos a barrios y pavimentos locales, programa de pavimentos locales Grupo II: Localidades de Antonio Nariño, Ciudad Bolívar, Los Mártires, Santafe y Usme en Bogotá D.C.</v>
      </c>
      <c r="H26" s="572"/>
      <c r="I26" s="572"/>
      <c r="J26" s="572"/>
      <c r="K26" s="573"/>
      <c r="L26" s="182" t="str">
        <f>+M35</f>
        <v>Instituto de Desarrollo Urbano - IDU</v>
      </c>
      <c r="M26" s="398" t="s">
        <v>78</v>
      </c>
      <c r="N26" s="185">
        <f>+N35</f>
        <v>39575</v>
      </c>
      <c r="O26" s="185">
        <f>+O35</f>
        <v>40223</v>
      </c>
      <c r="P26" s="558"/>
      <c r="Q26" s="202" t="str">
        <f>+T36</f>
        <v>205 a 228</v>
      </c>
      <c r="R26" s="132"/>
      <c r="S26" s="133"/>
      <c r="T26" s="133"/>
      <c r="U26" s="133"/>
      <c r="V26" s="133"/>
      <c r="W26" s="133"/>
      <c r="X26" s="133"/>
      <c r="Y26" s="134"/>
      <c r="Z26" s="112"/>
      <c r="AA26" s="112"/>
      <c r="AB26" s="112"/>
      <c r="AC26" s="112"/>
      <c r="AD26" s="112"/>
      <c r="AE26" s="112"/>
      <c r="AF26" s="112"/>
      <c r="AG26" s="112"/>
      <c r="AH26" s="112"/>
      <c r="AI26" s="112"/>
      <c r="AJ26" s="112"/>
      <c r="AK26" s="112"/>
      <c r="AL26" s="112"/>
      <c r="AQ26" s="3"/>
    </row>
    <row r="27" spans="1:45" ht="24" customHeight="1" x14ac:dyDescent="0.2">
      <c r="T27" s="1"/>
      <c r="U27" s="1"/>
      <c r="Y27" s="3"/>
      <c r="Z27" s="3"/>
      <c r="AM27" s="2"/>
      <c r="AN27" s="2"/>
      <c r="AS27" s="3"/>
    </row>
    <row r="28" spans="1:45" ht="24" customHeight="1" x14ac:dyDescent="0.2">
      <c r="T28" s="1"/>
      <c r="U28" s="1"/>
      <c r="Y28" s="3"/>
      <c r="Z28" s="3"/>
      <c r="AM28" s="2"/>
      <c r="AN28" s="2"/>
      <c r="AS28" s="3"/>
    </row>
    <row r="29" spans="1:45" x14ac:dyDescent="0.2">
      <c r="T29" s="1"/>
      <c r="Y29" s="3"/>
      <c r="AM29" s="2"/>
    </row>
    <row r="30" spans="1:45" ht="16.5" thickBot="1" x14ac:dyDescent="0.25">
      <c r="A30" s="74" t="s">
        <v>217</v>
      </c>
      <c r="T30" s="1"/>
      <c r="Y30" s="3"/>
      <c r="AA30" s="113"/>
      <c r="AB30" s="113"/>
      <c r="AC30" s="113"/>
      <c r="AD30" s="113"/>
      <c r="AE30" s="113"/>
      <c r="AF30" s="113"/>
      <c r="AM30" s="2"/>
      <c r="AR30" s="3"/>
    </row>
    <row r="31" spans="1:45" ht="114" customHeight="1" x14ac:dyDescent="0.2">
      <c r="A31" s="615" t="s">
        <v>112</v>
      </c>
      <c r="B31" s="541"/>
      <c r="C31" s="539" t="s">
        <v>113</v>
      </c>
      <c r="D31" s="541"/>
      <c r="E31" s="539" t="s">
        <v>70</v>
      </c>
      <c r="F31" s="541"/>
      <c r="G31" s="608" t="s">
        <v>114</v>
      </c>
      <c r="H31" s="609"/>
      <c r="I31" s="609"/>
      <c r="J31" s="609"/>
      <c r="K31" s="758"/>
      <c r="L31" s="241" t="s">
        <v>128</v>
      </c>
      <c r="M31" s="243" t="s">
        <v>115</v>
      </c>
      <c r="N31" s="242" t="s">
        <v>117</v>
      </c>
      <c r="O31" s="242" t="s">
        <v>118</v>
      </c>
      <c r="P31" s="242" t="s">
        <v>116</v>
      </c>
      <c r="Q31" s="242" t="s">
        <v>119</v>
      </c>
      <c r="R31" s="279" t="s">
        <v>189</v>
      </c>
      <c r="S31" s="279" t="s">
        <v>247</v>
      </c>
      <c r="T31" s="242" t="s">
        <v>106</v>
      </c>
      <c r="U31" s="619" t="s">
        <v>2</v>
      </c>
      <c r="V31" s="620"/>
      <c r="W31" s="620"/>
      <c r="X31" s="620"/>
      <c r="Y31" s="620"/>
      <c r="Z31" s="620"/>
      <c r="AA31" s="621"/>
      <c r="AB31" s="114"/>
      <c r="AC31" s="114"/>
      <c r="AD31" s="114"/>
      <c r="AE31" s="114"/>
      <c r="AF31" s="111"/>
      <c r="AG31" s="111"/>
      <c r="AH31" s="111"/>
      <c r="AI31" s="111"/>
      <c r="AJ31" s="111"/>
      <c r="AK31" s="111"/>
      <c r="AL31" s="111"/>
      <c r="AQ31" s="3"/>
    </row>
    <row r="32" spans="1:45" ht="55.5" customHeight="1" x14ac:dyDescent="0.2">
      <c r="A32" s="588" t="s">
        <v>158</v>
      </c>
      <c r="B32" s="589"/>
      <c r="C32" s="531" t="str">
        <f t="shared" ref="C32:C37" si="0">IFERROR(INDEX($E$7:$E$9,MATCH(A32,$B$7:$B$9,0)),"N.A.")</f>
        <v>LIDER</v>
      </c>
      <c r="D32" s="532"/>
      <c r="E32" s="531">
        <v>1</v>
      </c>
      <c r="F32" s="532"/>
      <c r="G32" s="571" t="s">
        <v>235</v>
      </c>
      <c r="H32" s="572"/>
      <c r="I32" s="572"/>
      <c r="J32" s="572"/>
      <c r="K32" s="573"/>
      <c r="L32" s="220" t="s">
        <v>133</v>
      </c>
      <c r="M32" s="182" t="s">
        <v>237</v>
      </c>
      <c r="N32" s="185">
        <v>37411</v>
      </c>
      <c r="O32" s="185">
        <v>38776</v>
      </c>
      <c r="P32" s="192">
        <v>0.5</v>
      </c>
      <c r="Q32" s="151">
        <f>(2371318000+287862000+231094136+150107252+298804780+291000000+161000000)/309000</f>
        <v>12269.210899676375</v>
      </c>
      <c r="R32" s="291" t="str">
        <f>IF(((Q32)&gt;='Calificación Técnica'!E18),"HABIL",IF(((Q32)&lt;'Calificación Técnica'!E18),"NO HABIL",))</f>
        <v>HABIL</v>
      </c>
      <c r="S32" s="871" t="str">
        <f>IF(($Q$32+$Q$33)&gt;='Calificación Técnica'!E14*0.6,IF(($Q$34+$Q$35+Q36+Q37)&gt;='Calificación Técnica'!E14*0.4,"HABIL","NO HABIL"))</f>
        <v>HABIL</v>
      </c>
      <c r="T32" s="181" t="s">
        <v>351</v>
      </c>
      <c r="U32" s="565"/>
      <c r="V32" s="566"/>
      <c r="W32" s="566"/>
      <c r="X32" s="566"/>
      <c r="Y32" s="566"/>
      <c r="Z32" s="566"/>
      <c r="AA32" s="567"/>
      <c r="AB32" s="112"/>
      <c r="AC32" s="112"/>
      <c r="AD32" s="112"/>
      <c r="AE32" s="112"/>
      <c r="AF32" s="112"/>
      <c r="AG32" s="112"/>
      <c r="AH32" s="112"/>
      <c r="AI32" s="112"/>
      <c r="AJ32" s="112"/>
      <c r="AK32" s="112"/>
      <c r="AL32" s="112"/>
      <c r="AM32" s="112"/>
      <c r="AN32" s="112"/>
      <c r="AP32" s="1">
        <f>IF(C32="MAP",IF(N32&gt;=30%,#REF!,#REF!*N32),0)</f>
        <v>0</v>
      </c>
      <c r="AQ32" s="1">
        <f>SUM(AP32:AP37)</f>
        <v>0</v>
      </c>
      <c r="AS32" s="3"/>
    </row>
    <row r="33" spans="1:49" ht="53.25" customHeight="1" x14ac:dyDescent="0.2">
      <c r="A33" s="588" t="s">
        <v>158</v>
      </c>
      <c r="B33" s="589"/>
      <c r="C33" s="531" t="str">
        <f t="shared" si="0"/>
        <v>LIDER</v>
      </c>
      <c r="D33" s="532"/>
      <c r="E33" s="531">
        <v>2</v>
      </c>
      <c r="F33" s="532"/>
      <c r="G33" s="571" t="s">
        <v>236</v>
      </c>
      <c r="H33" s="572"/>
      <c r="I33" s="572"/>
      <c r="J33" s="572"/>
      <c r="K33" s="573"/>
      <c r="L33" s="220" t="s">
        <v>133</v>
      </c>
      <c r="M33" s="182" t="s">
        <v>238</v>
      </c>
      <c r="N33" s="185">
        <v>35004</v>
      </c>
      <c r="O33" s="185">
        <v>35779</v>
      </c>
      <c r="P33" s="192">
        <v>1</v>
      </c>
      <c r="Q33" s="151">
        <f>(522495914+77421729+31993160.1+137736314.9)/118933.5</f>
        <v>6471.2391210214109</v>
      </c>
      <c r="R33" s="291" t="str">
        <f>IF(((Q33)&gt;='Calificación Técnica'!E18),"HABIL",IF(((Q33)&lt;'Calificación Técnica'!E18),"NO HABIL",))</f>
        <v>HABIL</v>
      </c>
      <c r="S33" s="872"/>
      <c r="T33" s="399" t="s">
        <v>352</v>
      </c>
      <c r="U33" s="565"/>
      <c r="V33" s="566"/>
      <c r="W33" s="566"/>
      <c r="X33" s="566"/>
      <c r="Y33" s="566"/>
      <c r="Z33" s="566"/>
      <c r="AA33" s="567"/>
      <c r="AB33" s="112"/>
      <c r="AC33" s="112"/>
      <c r="AD33" s="112"/>
      <c r="AE33" s="112"/>
      <c r="AF33" s="112"/>
      <c r="AG33" s="112"/>
      <c r="AH33" s="112"/>
      <c r="AI33" s="112"/>
      <c r="AJ33" s="112"/>
      <c r="AK33" s="112"/>
      <c r="AL33" s="112"/>
      <c r="AM33" s="112"/>
      <c r="AN33" s="112"/>
      <c r="AP33" s="1">
        <f>IF(C33="MAP",IF(N33&gt;=30%,#REF!,#REF!*N33),0)</f>
        <v>0</v>
      </c>
      <c r="AS33" s="3"/>
    </row>
    <row r="34" spans="1:49" ht="77.25" customHeight="1" x14ac:dyDescent="0.2">
      <c r="A34" s="588" t="s">
        <v>209</v>
      </c>
      <c r="B34" s="589"/>
      <c r="C34" s="531" t="str">
        <f t="shared" si="0"/>
        <v>NO LIDER</v>
      </c>
      <c r="D34" s="532"/>
      <c r="E34" s="531">
        <v>1</v>
      </c>
      <c r="F34" s="532"/>
      <c r="G34" s="571" t="s">
        <v>350</v>
      </c>
      <c r="H34" s="572"/>
      <c r="I34" s="572"/>
      <c r="J34" s="572"/>
      <c r="K34" s="573"/>
      <c r="L34" s="220" t="s">
        <v>133</v>
      </c>
      <c r="M34" s="182" t="s">
        <v>353</v>
      </c>
      <c r="N34" s="185">
        <v>40331</v>
      </c>
      <c r="O34" s="185">
        <v>41215</v>
      </c>
      <c r="P34" s="192">
        <v>0.5</v>
      </c>
      <c r="Q34" s="303">
        <f>4264498373/Hoja1!F29</f>
        <v>8280.579365048543</v>
      </c>
      <c r="R34" s="291" t="s">
        <v>108</v>
      </c>
      <c r="S34" s="872"/>
      <c r="T34" s="364" t="s">
        <v>354</v>
      </c>
      <c r="U34" s="565"/>
      <c r="V34" s="566"/>
      <c r="W34" s="566"/>
      <c r="X34" s="566"/>
      <c r="Y34" s="566"/>
      <c r="Z34" s="566"/>
      <c r="AA34" s="567"/>
      <c r="AB34" s="112"/>
      <c r="AC34" s="112"/>
      <c r="AD34" s="112"/>
      <c r="AE34" s="112"/>
      <c r="AF34" s="112"/>
      <c r="AG34" s="112"/>
      <c r="AH34" s="112"/>
      <c r="AI34" s="112"/>
      <c r="AJ34" s="112"/>
      <c r="AK34" s="112"/>
      <c r="AL34" s="112"/>
      <c r="AM34" s="112"/>
      <c r="AN34" s="112"/>
      <c r="AP34" s="1">
        <f>IF(C34="MAP",IF(N34&gt;=30%,#REF!,#REF!*N34),0)</f>
        <v>0</v>
      </c>
      <c r="AS34" s="3"/>
    </row>
    <row r="35" spans="1:49" s="305" customFormat="1" ht="78.75" customHeight="1" x14ac:dyDescent="0.2">
      <c r="A35" s="756" t="s">
        <v>209</v>
      </c>
      <c r="B35" s="757"/>
      <c r="C35" s="531" t="str">
        <f t="shared" si="0"/>
        <v>NO LIDER</v>
      </c>
      <c r="D35" s="532"/>
      <c r="E35" s="741">
        <v>2</v>
      </c>
      <c r="F35" s="742"/>
      <c r="G35" s="571" t="s">
        <v>240</v>
      </c>
      <c r="H35" s="572"/>
      <c r="I35" s="572"/>
      <c r="J35" s="572"/>
      <c r="K35" s="573"/>
      <c r="L35" s="220" t="s">
        <v>133</v>
      </c>
      <c r="M35" s="182" t="s">
        <v>242</v>
      </c>
      <c r="N35" s="185">
        <v>39575</v>
      </c>
      <c r="O35" s="185">
        <v>40223</v>
      </c>
      <c r="P35" s="192">
        <v>0.3</v>
      </c>
      <c r="Q35" s="163">
        <f>(861580552+463900687)/461500</f>
        <v>2872.1153607800652</v>
      </c>
      <c r="R35" s="405" t="s">
        <v>108</v>
      </c>
      <c r="S35" s="872"/>
      <c r="T35" s="364" t="s">
        <v>355</v>
      </c>
      <c r="U35" s="737"/>
      <c r="V35" s="738"/>
      <c r="W35" s="738"/>
      <c r="X35" s="738"/>
      <c r="Y35" s="738"/>
      <c r="Z35" s="738"/>
      <c r="AA35" s="739"/>
      <c r="AB35" s="309"/>
      <c r="AC35" s="309"/>
      <c r="AD35" s="309"/>
      <c r="AE35" s="309"/>
      <c r="AF35" s="309"/>
      <c r="AG35" s="309"/>
      <c r="AH35" s="309"/>
      <c r="AI35" s="309"/>
      <c r="AJ35" s="309"/>
      <c r="AK35" s="309"/>
      <c r="AL35" s="309"/>
      <c r="AM35" s="309"/>
      <c r="AN35" s="309"/>
      <c r="AP35" s="305">
        <f>IF(C35="MAP",IF(N35&gt;=30%,#REF!,#REF!*N35),0)</f>
        <v>0</v>
      </c>
      <c r="AS35" s="310"/>
    </row>
    <row r="36" spans="1:49" s="305" customFormat="1" ht="84.75" customHeight="1" x14ac:dyDescent="0.2">
      <c r="A36" s="756" t="s">
        <v>208</v>
      </c>
      <c r="B36" s="757"/>
      <c r="C36" s="531" t="str">
        <f t="shared" si="0"/>
        <v>NO LIDER</v>
      </c>
      <c r="D36" s="532"/>
      <c r="E36" s="741">
        <v>3</v>
      </c>
      <c r="F36" s="742"/>
      <c r="G36" s="568" t="s">
        <v>239</v>
      </c>
      <c r="H36" s="569"/>
      <c r="I36" s="569"/>
      <c r="J36" s="569"/>
      <c r="K36" s="570"/>
      <c r="L36" s="400" t="s">
        <v>133</v>
      </c>
      <c r="M36" s="401" t="s">
        <v>241</v>
      </c>
      <c r="N36" s="402">
        <v>39462</v>
      </c>
      <c r="O36" s="402">
        <v>40009</v>
      </c>
      <c r="P36" s="403">
        <v>0.3</v>
      </c>
      <c r="Q36" s="172">
        <f>(661019588)/461500</f>
        <v>1432.3284680390032</v>
      </c>
      <c r="R36" s="404" t="s">
        <v>108</v>
      </c>
      <c r="S36" s="872"/>
      <c r="T36" s="382" t="s">
        <v>356</v>
      </c>
      <c r="U36" s="737"/>
      <c r="V36" s="738"/>
      <c r="W36" s="738"/>
      <c r="X36" s="738"/>
      <c r="Y36" s="738"/>
      <c r="Z36" s="738"/>
      <c r="AA36" s="739"/>
      <c r="AB36" s="309"/>
      <c r="AC36" s="309"/>
      <c r="AD36" s="309"/>
      <c r="AE36" s="309"/>
      <c r="AF36" s="309"/>
      <c r="AG36" s="309"/>
      <c r="AH36" s="309"/>
      <c r="AI36" s="309"/>
      <c r="AJ36" s="309"/>
      <c r="AK36" s="309"/>
      <c r="AL36" s="309"/>
      <c r="AM36" s="309"/>
      <c r="AN36" s="309"/>
      <c r="AP36" s="305">
        <f>IF(C36="MAP",IF(N36&gt;=30%,#REF!,#REF!*N36),0)</f>
        <v>0</v>
      </c>
      <c r="AS36" s="310"/>
    </row>
    <row r="37" spans="1:49" ht="99" customHeight="1" thickBot="1" x14ac:dyDescent="0.25">
      <c r="A37" s="606" t="s">
        <v>208</v>
      </c>
      <c r="B37" s="607"/>
      <c r="C37" s="586" t="str">
        <f t="shared" si="0"/>
        <v>NO LIDER</v>
      </c>
      <c r="D37" s="587"/>
      <c r="E37" s="586">
        <v>4</v>
      </c>
      <c r="F37" s="587"/>
      <c r="G37" s="597" t="s">
        <v>357</v>
      </c>
      <c r="H37" s="598"/>
      <c r="I37" s="598"/>
      <c r="J37" s="598"/>
      <c r="K37" s="599"/>
      <c r="L37" s="231" t="s">
        <v>133</v>
      </c>
      <c r="M37" s="186" t="str">
        <f>+M36</f>
        <v xml:space="preserve">Instituto de Infraestructura y Concesiones de Cundinamarca ICCU </v>
      </c>
      <c r="N37" s="187">
        <v>39496</v>
      </c>
      <c r="O37" s="187">
        <v>40043</v>
      </c>
      <c r="P37" s="232">
        <v>0.3</v>
      </c>
      <c r="Q37" s="188">
        <f>+(614930946)/Hoja1!F27</f>
        <v>1332.4614214517876</v>
      </c>
      <c r="R37" s="292" t="s">
        <v>108</v>
      </c>
      <c r="S37" s="873"/>
      <c r="T37" s="202" t="s">
        <v>358</v>
      </c>
      <c r="U37" s="704"/>
      <c r="V37" s="705"/>
      <c r="W37" s="705"/>
      <c r="X37" s="705"/>
      <c r="Y37" s="705"/>
      <c r="Z37" s="705"/>
      <c r="AA37" s="706"/>
      <c r="AB37" s="112"/>
      <c r="AC37" s="112"/>
      <c r="AD37" s="112"/>
      <c r="AE37" s="112"/>
      <c r="AF37" s="112"/>
      <c r="AG37" s="112"/>
      <c r="AH37" s="112"/>
      <c r="AI37" s="112"/>
      <c r="AJ37" s="112"/>
      <c r="AK37" s="112"/>
      <c r="AL37" s="112"/>
      <c r="AM37" s="112"/>
      <c r="AN37" s="112"/>
      <c r="AP37" s="1">
        <f>IF(C37="MAP",IF(N37&gt;=30%,#REF!,#REF!*N37),0)</f>
        <v>0</v>
      </c>
      <c r="AS37" s="3"/>
    </row>
    <row r="38" spans="1:49" x14ac:dyDescent="0.2">
      <c r="Q38" s="300">
        <f>SUM(Q32:Q37)</f>
        <v>32657.934636017184</v>
      </c>
      <c r="R38" s="169" t="str">
        <f>IF(B9="","N. A.",IF((Q38&gt;='Calificación Técnica'!E14),"CUMPLE",IF((Q38&lt;'Calificación Técnica'!E14),"NO CUMPLE","N. A.")))</f>
        <v>CUMPLE</v>
      </c>
    </row>
    <row r="40" spans="1:49" ht="25.5" x14ac:dyDescent="0.2">
      <c r="A40" s="90" t="s">
        <v>145</v>
      </c>
      <c r="T40" s="1"/>
      <c r="U40" s="1"/>
      <c r="Y40" s="3"/>
      <c r="Z40" s="3"/>
      <c r="AM40" s="2"/>
      <c r="AN40" s="2"/>
      <c r="AO40" s="2"/>
      <c r="AP40" s="2"/>
      <c r="AQ40" s="2"/>
      <c r="AR40" s="2"/>
      <c r="AS40" s="2"/>
      <c r="AT40" s="2"/>
      <c r="AU40" s="2"/>
      <c r="AV40" s="2"/>
    </row>
    <row r="41" spans="1:49" ht="16.5" thickBot="1" x14ac:dyDescent="0.25">
      <c r="A41" s="74" t="s">
        <v>220</v>
      </c>
      <c r="T41" s="1"/>
      <c r="U41" s="1"/>
      <c r="V41" s="1"/>
      <c r="Y41" s="3"/>
      <c r="Z41" s="3"/>
      <c r="AA41" s="3"/>
      <c r="AM41" s="2"/>
      <c r="AN41" s="2"/>
      <c r="AO41" s="2"/>
      <c r="AP41" s="2"/>
      <c r="AQ41" s="2"/>
      <c r="AR41" s="2"/>
      <c r="AS41" s="2"/>
      <c r="AT41" s="2"/>
      <c r="AU41" s="2"/>
      <c r="AV41" s="2"/>
      <c r="AW41" s="2"/>
    </row>
    <row r="42" spans="1:49" ht="35.25" customHeight="1" x14ac:dyDescent="0.2">
      <c r="A42" s="592" t="s">
        <v>112</v>
      </c>
      <c r="B42" s="559"/>
      <c r="C42" s="559" t="s">
        <v>113</v>
      </c>
      <c r="D42" s="559"/>
      <c r="E42" s="559" t="s">
        <v>70</v>
      </c>
      <c r="F42" s="559"/>
      <c r="G42" s="562" t="s">
        <v>114</v>
      </c>
      <c r="H42" s="562"/>
      <c r="I42" s="562"/>
      <c r="J42" s="562"/>
      <c r="K42" s="562"/>
      <c r="L42" s="562"/>
      <c r="M42" s="562"/>
      <c r="N42" s="559" t="s">
        <v>115</v>
      </c>
      <c r="O42" s="559" t="s">
        <v>116</v>
      </c>
      <c r="P42" s="559" t="s">
        <v>117</v>
      </c>
      <c r="Q42" s="559" t="s">
        <v>118</v>
      </c>
      <c r="R42" s="559" t="s">
        <v>119</v>
      </c>
      <c r="S42" s="559" t="s">
        <v>139</v>
      </c>
      <c r="T42" s="554" t="s">
        <v>191</v>
      </c>
      <c r="U42" s="539" t="s">
        <v>195</v>
      </c>
      <c r="V42" s="540"/>
      <c r="W42" s="541"/>
      <c r="X42" s="720" t="s">
        <v>194</v>
      </c>
      <c r="Y42" s="548" t="s">
        <v>106</v>
      </c>
      <c r="Z42" s="533" t="s">
        <v>2</v>
      </c>
      <c r="AA42" s="533"/>
      <c r="AB42" s="533"/>
      <c r="AC42" s="533"/>
      <c r="AD42" s="533"/>
      <c r="AE42" s="533"/>
      <c r="AF42" s="533"/>
      <c r="AG42" s="533"/>
      <c r="AH42" s="533"/>
      <c r="AI42" s="534"/>
      <c r="AJ42" s="1"/>
      <c r="AK42" s="1"/>
      <c r="AL42" s="1"/>
    </row>
    <row r="43" spans="1:49" ht="28.5" customHeight="1" x14ac:dyDescent="0.2">
      <c r="A43" s="593"/>
      <c r="B43" s="560"/>
      <c r="C43" s="560"/>
      <c r="D43" s="560"/>
      <c r="E43" s="560"/>
      <c r="F43" s="560"/>
      <c r="G43" s="563"/>
      <c r="H43" s="563"/>
      <c r="I43" s="563"/>
      <c r="J43" s="563"/>
      <c r="K43" s="563"/>
      <c r="L43" s="563"/>
      <c r="M43" s="563"/>
      <c r="N43" s="560"/>
      <c r="O43" s="560"/>
      <c r="P43" s="560"/>
      <c r="Q43" s="560"/>
      <c r="R43" s="560"/>
      <c r="S43" s="560"/>
      <c r="T43" s="555"/>
      <c r="U43" s="542"/>
      <c r="V43" s="543"/>
      <c r="W43" s="544"/>
      <c r="X43" s="721"/>
      <c r="Y43" s="549"/>
      <c r="Z43" s="535"/>
      <c r="AA43" s="535"/>
      <c r="AB43" s="535"/>
      <c r="AC43" s="535"/>
      <c r="AD43" s="535"/>
      <c r="AE43" s="535"/>
      <c r="AF43" s="535"/>
      <c r="AG43" s="535"/>
      <c r="AH43" s="535"/>
      <c r="AI43" s="536"/>
      <c r="AJ43" s="1"/>
      <c r="AK43" s="1"/>
      <c r="AL43" s="1"/>
    </row>
    <row r="44" spans="1:49" ht="84.75" customHeight="1" thickBot="1" x14ac:dyDescent="0.25">
      <c r="A44" s="594"/>
      <c r="B44" s="561"/>
      <c r="C44" s="561"/>
      <c r="D44" s="561"/>
      <c r="E44" s="561"/>
      <c r="F44" s="561"/>
      <c r="G44" s="564"/>
      <c r="H44" s="564"/>
      <c r="I44" s="564"/>
      <c r="J44" s="564"/>
      <c r="K44" s="564"/>
      <c r="L44" s="564"/>
      <c r="M44" s="564"/>
      <c r="N44" s="561"/>
      <c r="O44" s="561"/>
      <c r="P44" s="561"/>
      <c r="Q44" s="561"/>
      <c r="R44" s="561"/>
      <c r="S44" s="561"/>
      <c r="T44" s="278" t="s">
        <v>218</v>
      </c>
      <c r="U44" s="545"/>
      <c r="V44" s="546"/>
      <c r="W44" s="547"/>
      <c r="X44" s="335" t="s">
        <v>215</v>
      </c>
      <c r="Y44" s="550"/>
      <c r="Z44" s="537"/>
      <c r="AA44" s="537"/>
      <c r="AB44" s="537"/>
      <c r="AC44" s="537"/>
      <c r="AD44" s="537"/>
      <c r="AE44" s="537"/>
      <c r="AF44" s="537"/>
      <c r="AG44" s="537"/>
      <c r="AH44" s="537"/>
      <c r="AI44" s="538"/>
      <c r="AJ44" s="1"/>
      <c r="AK44" s="1"/>
      <c r="AL44" s="1"/>
    </row>
    <row r="45" spans="1:49" ht="72.75" customHeight="1" x14ac:dyDescent="0.2">
      <c r="A45" s="588" t="s">
        <v>158</v>
      </c>
      <c r="B45" s="589"/>
      <c r="C45" s="531" t="str">
        <f>IFERROR(INDEX($E$7:$E$9,MATCH(A45,$B$7:$B$9,0)),"N.A.")</f>
        <v>LIDER</v>
      </c>
      <c r="D45" s="532"/>
      <c r="E45" s="760">
        <v>1</v>
      </c>
      <c r="F45" s="761"/>
      <c r="G45" s="827" t="s">
        <v>359</v>
      </c>
      <c r="H45" s="827"/>
      <c r="I45" s="827"/>
      <c r="J45" s="827"/>
      <c r="K45" s="827"/>
      <c r="L45" s="827"/>
      <c r="M45" s="827"/>
      <c r="N45" s="203" t="s">
        <v>242</v>
      </c>
      <c r="O45" s="179">
        <v>0.6</v>
      </c>
      <c r="P45" s="185">
        <v>37978</v>
      </c>
      <c r="Q45" s="185">
        <v>40748</v>
      </c>
      <c r="R45" s="151">
        <f>4936586626/332000</f>
        <v>14869.236825301205</v>
      </c>
      <c r="S45" s="172">
        <v>6</v>
      </c>
      <c r="T45" s="414" t="str">
        <f>IF((R45)&gt;='Calificación Técnica'!E24,"CUMPLE","NO CUMPLE")</f>
        <v>CUMPLE</v>
      </c>
      <c r="U45" s="824" t="s">
        <v>76</v>
      </c>
      <c r="V45" s="825"/>
      <c r="W45" s="826"/>
      <c r="X45" s="768" t="str">
        <f>IF(($S$49)&gt;='Calificación Técnica'!C26,"CUMPLE","NO CUMPLE")</f>
        <v>CUMPLE</v>
      </c>
      <c r="Y45" s="289" t="s">
        <v>360</v>
      </c>
      <c r="Z45" s="874"/>
      <c r="AA45" s="875"/>
      <c r="AB45" s="875"/>
      <c r="AC45" s="875"/>
      <c r="AD45" s="875"/>
      <c r="AE45" s="875"/>
      <c r="AF45" s="875"/>
      <c r="AG45" s="875"/>
      <c r="AH45" s="875"/>
      <c r="AI45" s="876"/>
      <c r="AJ45" s="1"/>
      <c r="AK45" s="1"/>
      <c r="AL45" s="1"/>
    </row>
    <row r="46" spans="1:49" ht="36.75" customHeight="1" x14ac:dyDescent="0.2">
      <c r="A46" s="746" t="s">
        <v>158</v>
      </c>
      <c r="B46" s="747"/>
      <c r="C46" s="743" t="str">
        <f>IFERROR(INDEX($E$7:$E$8,MATCH(A46,$B$7:$B$8,0)),"N.A.")</f>
        <v>LIDER</v>
      </c>
      <c r="D46" s="743"/>
      <c r="E46" s="743">
        <v>2</v>
      </c>
      <c r="F46" s="743"/>
      <c r="G46" s="744" t="s">
        <v>361</v>
      </c>
      <c r="H46" s="744"/>
      <c r="I46" s="744"/>
      <c r="J46" s="744"/>
      <c r="K46" s="744"/>
      <c r="L46" s="744"/>
      <c r="M46" s="744"/>
      <c r="N46" s="203" t="s">
        <v>332</v>
      </c>
      <c r="O46" s="183">
        <v>0.33</v>
      </c>
      <c r="P46" s="290">
        <v>37222</v>
      </c>
      <c r="Q46" s="290">
        <v>38317</v>
      </c>
      <c r="R46" s="151">
        <f>1125685108/Hoja1!F20</f>
        <v>3935.9619160839161</v>
      </c>
      <c r="S46" s="151">
        <v>31</v>
      </c>
      <c r="T46" s="415" t="str">
        <f>IF((R46)&gt;='Calificación Técnica'!E24,"CUMPLE","NO CUMPLE")</f>
        <v>CUMPLE</v>
      </c>
      <c r="U46" s="764" t="s">
        <v>76</v>
      </c>
      <c r="V46" s="765"/>
      <c r="W46" s="766"/>
      <c r="X46" s="768"/>
      <c r="Y46" s="209" t="s">
        <v>362</v>
      </c>
      <c r="Z46" s="874"/>
      <c r="AA46" s="875"/>
      <c r="AB46" s="875"/>
      <c r="AC46" s="875"/>
      <c r="AD46" s="875"/>
      <c r="AE46" s="875"/>
      <c r="AF46" s="875"/>
      <c r="AG46" s="875"/>
      <c r="AH46" s="875"/>
      <c r="AI46" s="876"/>
      <c r="AJ46" s="1"/>
      <c r="AK46" s="1"/>
      <c r="AL46" s="1"/>
    </row>
    <row r="47" spans="1:49" ht="53.25" customHeight="1" x14ac:dyDescent="0.2">
      <c r="A47" s="588" t="s">
        <v>158</v>
      </c>
      <c r="B47" s="589"/>
      <c r="C47" s="531" t="str">
        <f>IFERROR(INDEX($E$7:$E$8,MATCH(A47,$B$7:$B$8,0)),"N.A.")</f>
        <v>LIDER</v>
      </c>
      <c r="D47" s="532"/>
      <c r="E47" s="531">
        <v>3</v>
      </c>
      <c r="F47" s="532"/>
      <c r="G47" s="744" t="s">
        <v>244</v>
      </c>
      <c r="H47" s="744"/>
      <c r="I47" s="744"/>
      <c r="J47" s="744"/>
      <c r="K47" s="744"/>
      <c r="L47" s="744"/>
      <c r="M47" s="744"/>
      <c r="N47" s="203" t="s">
        <v>242</v>
      </c>
      <c r="O47" s="183">
        <v>0.4</v>
      </c>
      <c r="P47" s="185">
        <v>38002</v>
      </c>
      <c r="Q47" s="185">
        <v>39113</v>
      </c>
      <c r="R47" s="163">
        <f>(4107676000+2408095492+606126019+994526217)/309000</f>
        <v>26266.74345631068</v>
      </c>
      <c r="S47" s="163">
        <v>10</v>
      </c>
      <c r="T47" s="415" t="str">
        <f>IF((R47)&gt;='Calificación Técnica'!E24,"CUMPLE","NO CUMPLE")</f>
        <v>CUMPLE</v>
      </c>
      <c r="U47" s="764" t="s">
        <v>76</v>
      </c>
      <c r="V47" s="765"/>
      <c r="W47" s="766"/>
      <c r="X47" s="768"/>
      <c r="Y47" s="209" t="s">
        <v>363</v>
      </c>
      <c r="Z47" s="874"/>
      <c r="AA47" s="875"/>
      <c r="AB47" s="875"/>
      <c r="AC47" s="875"/>
      <c r="AD47" s="875"/>
      <c r="AE47" s="875"/>
      <c r="AF47" s="875"/>
      <c r="AG47" s="875"/>
      <c r="AH47" s="875"/>
      <c r="AI47" s="876"/>
      <c r="AJ47" s="1"/>
      <c r="AK47" s="1"/>
      <c r="AL47" s="1"/>
    </row>
    <row r="48" spans="1:49" ht="40.5" customHeight="1" thickBot="1" x14ac:dyDescent="0.25">
      <c r="A48" s="606" t="s">
        <v>209</v>
      </c>
      <c r="B48" s="607"/>
      <c r="C48" s="586" t="str">
        <f>IFERROR(INDEX($E$7:$E$8,MATCH(A48,$B$7:$B$8,0)),"N.A.")</f>
        <v>NO LIDER</v>
      </c>
      <c r="D48" s="587"/>
      <c r="E48" s="586">
        <v>4</v>
      </c>
      <c r="F48" s="587"/>
      <c r="G48" s="772" t="s">
        <v>245</v>
      </c>
      <c r="H48" s="772"/>
      <c r="I48" s="772"/>
      <c r="J48" s="772"/>
      <c r="K48" s="772"/>
      <c r="L48" s="772"/>
      <c r="M48" s="772"/>
      <c r="N48" s="204" t="s">
        <v>241</v>
      </c>
      <c r="O48" s="205">
        <v>0.5</v>
      </c>
      <c r="P48" s="187">
        <v>40331</v>
      </c>
      <c r="Q48" s="187">
        <v>41215</v>
      </c>
      <c r="R48" s="188">
        <f>(462230291+1201749724+1157215865+431667261+95331528+95331527+47665764+773306422)/515000</f>
        <v>8280.5793825242727</v>
      </c>
      <c r="S48" s="188">
        <v>339.85</v>
      </c>
      <c r="T48" s="415" t="str">
        <f>IF((R48)&gt;='Calificación Técnica'!E24,"CUMPLE","NO CUMPLE")</f>
        <v>CUMPLE</v>
      </c>
      <c r="U48" s="773" t="s">
        <v>76</v>
      </c>
      <c r="V48" s="774"/>
      <c r="W48" s="775"/>
      <c r="X48" s="769"/>
      <c r="Y48" s="210" t="s">
        <v>364</v>
      </c>
      <c r="Z48" s="877"/>
      <c r="AA48" s="878"/>
      <c r="AB48" s="878"/>
      <c r="AC48" s="878"/>
      <c r="AD48" s="878"/>
      <c r="AE48" s="878"/>
      <c r="AF48" s="878"/>
      <c r="AG48" s="878"/>
      <c r="AH48" s="878"/>
      <c r="AI48" s="879"/>
      <c r="AJ48" s="1"/>
      <c r="AK48" s="1"/>
      <c r="AL48" s="1"/>
    </row>
    <row r="49" spans="19:38" x14ac:dyDescent="0.2">
      <c r="S49" s="166">
        <f>SUM(S45:S48)</f>
        <v>386.85</v>
      </c>
      <c r="T49" s="169" t="s">
        <v>76</v>
      </c>
      <c r="U49" s="2"/>
      <c r="V49" s="2"/>
      <c r="W49" s="2"/>
      <c r="X49" s="2"/>
      <c r="AE49" s="1"/>
      <c r="AF49" s="1"/>
      <c r="AG49" s="1"/>
      <c r="AH49" s="1"/>
      <c r="AI49" s="1"/>
      <c r="AJ49" s="1"/>
      <c r="AK49" s="1"/>
      <c r="AL49" s="1"/>
    </row>
    <row r="50" spans="19:38" x14ac:dyDescent="0.2">
      <c r="S50" s="157"/>
    </row>
  </sheetData>
  <sheetProtection formatColumns="0" formatRows="0"/>
  <mergeCells count="150">
    <mergeCell ref="A45:B45"/>
    <mergeCell ref="C45:D45"/>
    <mergeCell ref="E45:F45"/>
    <mergeCell ref="G45:M45"/>
    <mergeCell ref="U45:W45"/>
    <mergeCell ref="X45:X48"/>
    <mergeCell ref="Z45:AI48"/>
    <mergeCell ref="A46:B46"/>
    <mergeCell ref="C46:D46"/>
    <mergeCell ref="E46:F46"/>
    <mergeCell ref="G46:M46"/>
    <mergeCell ref="U46:W46"/>
    <mergeCell ref="A47:B47"/>
    <mergeCell ref="A48:B48"/>
    <mergeCell ref="G48:M48"/>
    <mergeCell ref="U48:W48"/>
    <mergeCell ref="C47:D47"/>
    <mergeCell ref="E47:F47"/>
    <mergeCell ref="G47:M47"/>
    <mergeCell ref="U47:W47"/>
    <mergeCell ref="C48:D48"/>
    <mergeCell ref="E48:F48"/>
    <mergeCell ref="G35:K35"/>
    <mergeCell ref="U35:AA35"/>
    <mergeCell ref="G37:K37"/>
    <mergeCell ref="U37:AA37"/>
    <mergeCell ref="A42:B44"/>
    <mergeCell ref="C42:D44"/>
    <mergeCell ref="E42:F44"/>
    <mergeCell ref="G42:M44"/>
    <mergeCell ref="N42:N44"/>
    <mergeCell ref="O42:O44"/>
    <mergeCell ref="P42:P44"/>
    <mergeCell ref="Q42:Q44"/>
    <mergeCell ref="R42:R44"/>
    <mergeCell ref="S42:S44"/>
    <mergeCell ref="U42:W44"/>
    <mergeCell ref="T42:T43"/>
    <mergeCell ref="Z42:AI44"/>
    <mergeCell ref="Y42:Y44"/>
    <mergeCell ref="X42:X43"/>
    <mergeCell ref="A36:B36"/>
    <mergeCell ref="C36:D36"/>
    <mergeCell ref="E36:F36"/>
    <mergeCell ref="G36:K36"/>
    <mergeCell ref="U36:AA36"/>
    <mergeCell ref="A31:B31"/>
    <mergeCell ref="C31:D31"/>
    <mergeCell ref="E31:F31"/>
    <mergeCell ref="G31:K31"/>
    <mergeCell ref="U31:AA31"/>
    <mergeCell ref="A32:B32"/>
    <mergeCell ref="C32:D32"/>
    <mergeCell ref="E32:F32"/>
    <mergeCell ref="G32:K32"/>
    <mergeCell ref="S32:S37"/>
    <mergeCell ref="U32:AA32"/>
    <mergeCell ref="A33:B33"/>
    <mergeCell ref="C33:D33"/>
    <mergeCell ref="E33:F33"/>
    <mergeCell ref="G33:K33"/>
    <mergeCell ref="U33:AA33"/>
    <mergeCell ref="A34:B34"/>
    <mergeCell ref="C34:D34"/>
    <mergeCell ref="E34:F34"/>
    <mergeCell ref="G34:K34"/>
    <mergeCell ref="U34:AA34"/>
    <mergeCell ref="A35:B35"/>
    <mergeCell ref="C35:D35"/>
    <mergeCell ref="E35:F35"/>
    <mergeCell ref="R23:Y23"/>
    <mergeCell ref="A24:B24"/>
    <mergeCell ref="C24:D24"/>
    <mergeCell ref="E24:F24"/>
    <mergeCell ref="G24:K24"/>
    <mergeCell ref="P24:P26"/>
    <mergeCell ref="R24:Y24"/>
    <mergeCell ref="A26:B26"/>
    <mergeCell ref="C26:D26"/>
    <mergeCell ref="E26:F26"/>
    <mergeCell ref="G26:K26"/>
    <mergeCell ref="A25:B25"/>
    <mergeCell ref="C25:D25"/>
    <mergeCell ref="E25:F25"/>
    <mergeCell ref="G25:K25"/>
    <mergeCell ref="C16:D16"/>
    <mergeCell ref="E16:F16"/>
    <mergeCell ref="L16:Q16"/>
    <mergeCell ref="C17:D17"/>
    <mergeCell ref="E17:F17"/>
    <mergeCell ref="G17:H17"/>
    <mergeCell ref="L20:Q20"/>
    <mergeCell ref="A23:B23"/>
    <mergeCell ref="C23:D23"/>
    <mergeCell ref="E23:F23"/>
    <mergeCell ref="G23:K23"/>
    <mergeCell ref="C18:D18"/>
    <mergeCell ref="E18:F18"/>
    <mergeCell ref="G18:H18"/>
    <mergeCell ref="L18:Q18"/>
    <mergeCell ref="C19:D19"/>
    <mergeCell ref="C20:D20"/>
    <mergeCell ref="E20:F20"/>
    <mergeCell ref="G20:H20"/>
    <mergeCell ref="P8:U8"/>
    <mergeCell ref="C9:D9"/>
    <mergeCell ref="E9:F9"/>
    <mergeCell ref="G9:H9"/>
    <mergeCell ref="I9:J9"/>
    <mergeCell ref="P9:U9"/>
    <mergeCell ref="C10:D10"/>
    <mergeCell ref="E10:F10"/>
    <mergeCell ref="G10:H10"/>
    <mergeCell ref="I10:J10"/>
    <mergeCell ref="P10:U10"/>
    <mergeCell ref="P4:U5"/>
    <mergeCell ref="I5:J5"/>
    <mergeCell ref="C6:D6"/>
    <mergeCell ref="E6:F6"/>
    <mergeCell ref="G6:M6"/>
    <mergeCell ref="P6:U6"/>
    <mergeCell ref="C7:D7"/>
    <mergeCell ref="E7:F7"/>
    <mergeCell ref="G7:H7"/>
    <mergeCell ref="I7:J7"/>
    <mergeCell ref="P7:U7"/>
    <mergeCell ref="A37:B37"/>
    <mergeCell ref="C37:D37"/>
    <mergeCell ref="E37:F37"/>
    <mergeCell ref="A4:A5"/>
    <mergeCell ref="B4:B5"/>
    <mergeCell ref="C4:F5"/>
    <mergeCell ref="G4:H5"/>
    <mergeCell ref="I4:N4"/>
    <mergeCell ref="O4:O5"/>
    <mergeCell ref="C8:D8"/>
    <mergeCell ref="E8:F8"/>
    <mergeCell ref="G8:H8"/>
    <mergeCell ref="I8:J8"/>
    <mergeCell ref="L17:Q17"/>
    <mergeCell ref="A14:A15"/>
    <mergeCell ref="B14:B15"/>
    <mergeCell ref="C14:F15"/>
    <mergeCell ref="G14:H15"/>
    <mergeCell ref="I14:J14"/>
    <mergeCell ref="K14:K15"/>
    <mergeCell ref="E19:F19"/>
    <mergeCell ref="G19:H19"/>
    <mergeCell ref="L19:Q19"/>
    <mergeCell ref="L14:Q15"/>
  </mergeCells>
  <conditionalFormatting sqref="R32:S32 R33:R35 R37 P24:P26 T45:T48">
    <cfRule type="cellIs" dxfId="14" priority="9" stopIfTrue="1" operator="equal">
      <formula>"NO HABIL"</formula>
    </cfRule>
  </conditionalFormatting>
  <conditionalFormatting sqref="J16">
    <cfRule type="cellIs" dxfId="13" priority="7" stopIfTrue="1" operator="equal">
      <formula>"NO HABIL"</formula>
    </cfRule>
  </conditionalFormatting>
  <conditionalFormatting sqref="N6">
    <cfRule type="cellIs" dxfId="12" priority="2" stopIfTrue="1" operator="equal">
      <formula>"NO HABIL"</formula>
    </cfRule>
  </conditionalFormatting>
  <conditionalFormatting sqref="R36">
    <cfRule type="cellIs" dxfId="11" priority="1" stopIfTrue="1" operator="equal">
      <formula>"NO HABIL"</formula>
    </cfRule>
  </conditionalFormatting>
  <dataValidations count="4">
    <dataValidation type="list" allowBlank="1" showInputMessage="1" showErrorMessage="1" sqref="K7:L11 M10:M11">
      <formula1>$AN$7:$AN$8</formula1>
    </dataValidation>
    <dataValidation type="list" allowBlank="1" showInputMessage="1" showErrorMessage="1" sqref="G7:H11">
      <formula1>$AM$7:$AM$8</formula1>
    </dataValidation>
    <dataValidation type="list" allowBlank="1" showInputMessage="1" showErrorMessage="1" sqref="B24 A32:B37 A24:A26 A45:B45">
      <formula1>$B$7:$B$9</formula1>
    </dataValidation>
    <dataValidation type="list" allowBlank="1" showInputMessage="1" showErrorMessage="1" sqref="A46:A48 B46">
      <formula1>$B$7:$B$8</formula1>
    </dataValidation>
  </dataValidations>
  <printOptions horizontalCentered="1" verticalCentered="1"/>
  <pageMargins left="0.23622047244094491" right="0.23622047244094491" top="0.78740157480314965" bottom="0.35433070866141736" header="0.51181102362204722" footer="0.51181102362204722"/>
  <pageSetup paperSize="5" scale="44" orientation="landscape" r:id="rId1"/>
  <headerFooter alignWithMargins="0"/>
  <rowBreaks count="1" manualBreakCount="1">
    <brk id="21" max="2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4" sqref="D4:D7"/>
    </sheetView>
  </sheetViews>
  <sheetFormatPr baseColWidth="10" defaultRowHeight="12.75" x14ac:dyDescent="0.2"/>
  <cols>
    <col min="2" max="2" width="14.7109375" customWidth="1"/>
    <col min="3" max="3" width="17.7109375" customWidth="1"/>
    <col min="4" max="4" width="21.28515625" customWidth="1"/>
  </cols>
  <sheetData>
    <row r="1" spans="1:4" ht="13.5" thickBot="1" x14ac:dyDescent="0.25"/>
    <row r="2" spans="1:4" x14ac:dyDescent="0.2">
      <c r="A2" s="837" t="s">
        <v>140</v>
      </c>
      <c r="B2" s="838"/>
      <c r="C2" s="838"/>
      <c r="D2" s="839"/>
    </row>
    <row r="3" spans="1:4" ht="63.75" x14ac:dyDescent="0.2">
      <c r="A3" s="161" t="s">
        <v>141</v>
      </c>
      <c r="B3" s="159" t="s">
        <v>149</v>
      </c>
      <c r="C3" s="159" t="s">
        <v>142</v>
      </c>
      <c r="D3" s="306" t="str">
        <f>'P6'!B6</f>
        <v>CONSORCIO INTERVENTORES NORTE DE SANTANDER</v>
      </c>
    </row>
    <row r="4" spans="1:4" ht="25.5" customHeight="1" x14ac:dyDescent="0.2">
      <c r="A4" s="834" t="s">
        <v>143</v>
      </c>
      <c r="B4" s="728">
        <v>100</v>
      </c>
      <c r="C4" s="158">
        <v>1</v>
      </c>
      <c r="D4" s="729">
        <v>900</v>
      </c>
    </row>
    <row r="5" spans="1:4" ht="25.5" customHeight="1" x14ac:dyDescent="0.2">
      <c r="A5" s="835"/>
      <c r="B5" s="728"/>
      <c r="C5" s="158">
        <v>2</v>
      </c>
      <c r="D5" s="729"/>
    </row>
    <row r="6" spans="1:4" ht="25.5" customHeight="1" x14ac:dyDescent="0.2">
      <c r="A6" s="835"/>
      <c r="B6" s="728"/>
      <c r="C6" s="158">
        <v>3</v>
      </c>
      <c r="D6" s="729"/>
    </row>
    <row r="7" spans="1:4" ht="25.5" customHeight="1" x14ac:dyDescent="0.2">
      <c r="A7" s="836"/>
      <c r="B7" s="728"/>
      <c r="C7" s="158">
        <v>4</v>
      </c>
      <c r="D7" s="729"/>
    </row>
    <row r="8" spans="1:4" ht="13.5" thickBot="1" x14ac:dyDescent="0.25">
      <c r="A8" s="725" t="s">
        <v>144</v>
      </c>
      <c r="B8" s="726"/>
      <c r="C8" s="726"/>
      <c r="D8" s="307">
        <f>+D4+B4</f>
        <v>1000</v>
      </c>
    </row>
  </sheetData>
  <mergeCells count="5">
    <mergeCell ref="A8:C8"/>
    <mergeCell ref="A2:D2"/>
    <mergeCell ref="A4:A7"/>
    <mergeCell ref="B4:B7"/>
    <mergeCell ref="D4:D7"/>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48"/>
  <sheetViews>
    <sheetView view="pageBreakPreview" topLeftCell="A34" zoomScale="40" zoomScaleNormal="80" zoomScaleSheetLayoutView="40" workbookViewId="0">
      <selection activeCell="Z43" sqref="Z43:AI46"/>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5.8554687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21.140625" style="1" customWidth="1"/>
    <col min="13" max="13" width="25.140625" style="1" bestFit="1" customWidth="1"/>
    <col min="14" max="14" width="21.140625" style="1" customWidth="1"/>
    <col min="15" max="15" width="15.42578125" style="1" customWidth="1"/>
    <col min="16" max="16" width="18.7109375" style="1" customWidth="1"/>
    <col min="17" max="17" width="15.42578125" style="1" customWidth="1"/>
    <col min="18" max="19" width="17.28515625" style="1" customWidth="1"/>
    <col min="20" max="20" width="21.5703125" style="3" customWidth="1"/>
    <col min="21" max="21" width="20.28515625" style="3" customWidth="1"/>
    <col min="22" max="22" width="12.42578125" style="3" customWidth="1"/>
    <col min="23" max="23" width="9" style="3" customWidth="1"/>
    <col min="24" max="24" width="14.140625" style="3" customWidth="1"/>
    <col min="25" max="25" width="20.5703125" style="2" customWidth="1"/>
    <col min="26" max="26" width="20.140625" style="2" customWidth="1"/>
    <col min="27" max="30" width="14.85546875" style="2" customWidth="1"/>
    <col min="31" max="31" width="12.42578125" style="2" bestFit="1" customWidth="1"/>
    <col min="32" max="32" width="17.42578125" style="2" customWidth="1"/>
    <col min="33" max="33" width="19" style="2" customWidth="1"/>
    <col min="34" max="34" width="16.85546875" style="2" customWidth="1"/>
    <col min="35" max="35" width="17.28515625" style="2" customWidth="1"/>
    <col min="36" max="36" width="17" style="2" customWidth="1"/>
    <col min="37" max="37" width="17.28515625" style="2" customWidth="1"/>
    <col min="38" max="38" width="16.7109375" style="2" customWidth="1"/>
    <col min="39" max="39" width="16.85546875" style="1" customWidth="1"/>
    <col min="40" max="40" width="16.5703125" style="1" customWidth="1"/>
    <col min="41" max="42" width="16.42578125" style="1" customWidth="1"/>
    <col min="43" max="43" width="5" style="1" bestFit="1" customWidth="1"/>
    <col min="44" max="44" width="2.28515625" style="1" bestFit="1" customWidth="1"/>
    <col min="45" max="45" width="5" style="1" bestFit="1" customWidth="1"/>
    <col min="46" max="46" width="5.5703125" style="1" bestFit="1" customWidth="1"/>
    <col min="47" max="47" width="6.5703125" style="1" bestFit="1" customWidth="1"/>
    <col min="48" max="48" width="2.42578125" style="1" bestFit="1" customWidth="1"/>
    <col min="49" max="49" width="8.7109375" style="1" bestFit="1" customWidth="1"/>
    <col min="50" max="50" width="11.42578125" style="1" bestFit="1" customWidth="1"/>
    <col min="51" max="16384" width="11.5703125" style="1"/>
  </cols>
  <sheetData>
    <row r="1" spans="1:49" ht="21" customHeight="1" x14ac:dyDescent="0.2">
      <c r="A1" s="90" t="s">
        <v>146</v>
      </c>
    </row>
    <row r="2" spans="1:49" ht="8.25" customHeight="1" x14ac:dyDescent="0.2"/>
    <row r="3" spans="1:49"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c r="AH3" s="79"/>
      <c r="AI3" s="79"/>
      <c r="AJ3" s="79"/>
      <c r="AK3" s="79"/>
      <c r="AL3" s="79"/>
    </row>
    <row r="4" spans="1:49"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t="s">
        <v>129</v>
      </c>
      <c r="AC4" s="85" t="s">
        <v>130</v>
      </c>
      <c r="AD4" s="85" t="s">
        <v>131</v>
      </c>
      <c r="AE4" s="85" t="s">
        <v>132</v>
      </c>
      <c r="AF4" s="85" t="s">
        <v>137</v>
      </c>
      <c r="AG4" s="153" t="s">
        <v>138</v>
      </c>
      <c r="AH4" s="85"/>
      <c r="AI4" s="85"/>
      <c r="AJ4" s="85"/>
      <c r="AK4" s="85"/>
      <c r="AL4" s="85"/>
    </row>
    <row r="5" spans="1:49" ht="93.75" customHeight="1" x14ac:dyDescent="0.2">
      <c r="A5" s="677" t="s">
        <v>1</v>
      </c>
      <c r="B5" s="679"/>
      <c r="C5" s="683"/>
      <c r="D5" s="684"/>
      <c r="E5" s="684"/>
      <c r="F5" s="685"/>
      <c r="G5" s="683"/>
      <c r="H5" s="685"/>
      <c r="I5" s="697" t="s">
        <v>124</v>
      </c>
      <c r="J5" s="698"/>
      <c r="K5" s="240" t="s">
        <v>109</v>
      </c>
      <c r="L5" s="251" t="s">
        <v>162</v>
      </c>
      <c r="M5" s="240" t="s">
        <v>148</v>
      </c>
      <c r="N5" s="240" t="s">
        <v>67</v>
      </c>
      <c r="O5" s="690"/>
      <c r="P5" s="694"/>
      <c r="Q5" s="695"/>
      <c r="R5" s="695"/>
      <c r="S5" s="695"/>
      <c r="T5" s="695"/>
      <c r="U5" s="696"/>
      <c r="V5" s="82"/>
      <c r="W5" s="82"/>
      <c r="X5" s="82"/>
      <c r="Y5" s="86"/>
      <c r="Z5" s="86"/>
      <c r="AA5" s="86"/>
      <c r="AB5" s="85">
        <v>1</v>
      </c>
      <c r="AC5" s="139">
        <v>7067480705</v>
      </c>
      <c r="AD5" s="139">
        <f>+AC5*1.5</f>
        <v>10601221057.5</v>
      </c>
      <c r="AE5" s="141">
        <f>+AD5/566700</f>
        <v>18706.936752249869</v>
      </c>
      <c r="AF5" s="141">
        <f>+AC5/566700</f>
        <v>12471.291168166579</v>
      </c>
      <c r="AG5" s="154">
        <v>163.21</v>
      </c>
      <c r="AH5" s="86"/>
      <c r="AI5" s="86"/>
      <c r="AJ5" s="86"/>
      <c r="AK5" s="86"/>
      <c r="AL5" s="1"/>
    </row>
    <row r="6" spans="1:49" ht="27" customHeight="1" thickBot="1" x14ac:dyDescent="0.25">
      <c r="A6" s="236">
        <v>7</v>
      </c>
      <c r="B6" s="103" t="str">
        <f>INDEX(PROPONENTES!B1:B8,MATCH(A6,PROPONENTES!A1:A8,0))</f>
        <v>CONSORCIO NORTE DE COLOMBIA</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v>2</v>
      </c>
      <c r="AC6" s="139">
        <v>4386497161</v>
      </c>
      <c r="AD6" s="140" t="e">
        <f>#N/A</f>
        <v>#N/A</v>
      </c>
      <c r="AE6" s="141" t="e">
        <f>#N/A</f>
        <v>#N/A</v>
      </c>
      <c r="AF6" s="141">
        <f>+AC6/566700</f>
        <v>7740.422023998588</v>
      </c>
      <c r="AG6" s="154">
        <v>297.10000000000002</v>
      </c>
      <c r="AH6" s="80"/>
      <c r="AI6" s="80"/>
      <c r="AJ6" s="80"/>
      <c r="AK6" s="80"/>
      <c r="AL6" s="1"/>
    </row>
    <row r="7" spans="1:49" ht="30.75" customHeight="1" thickTop="1" x14ac:dyDescent="0.2">
      <c r="A7" s="105" t="str">
        <f>CONCATENATE($A$6,"A")</f>
        <v>7A</v>
      </c>
      <c r="B7" s="106" t="str">
        <f>IFERROR(INDEX(PROPONENTES!$F$1:$F$26,MATCH(A7,PROPONENTES!$E$1:$E$26,0)),"")</f>
        <v>INTERPRO SAS</v>
      </c>
      <c r="C7" s="707">
        <f>IFERROR(INDEX(PROPONENTES!$H$1:$H$26,MATCH(A7,PROPONENTES!$E$1:$E$26,0)),"")</f>
        <v>0.6</v>
      </c>
      <c r="D7" s="707"/>
      <c r="E7" s="638" t="str">
        <f>IF(B7="","N. A.",IF(C7&lt;=40%,"NO LIDER","LIDER"))</f>
        <v>LIDER</v>
      </c>
      <c r="F7" s="638"/>
      <c r="G7" s="670" t="s">
        <v>77</v>
      </c>
      <c r="H7" s="670"/>
      <c r="I7" s="638" t="str">
        <f>IF(B7="","N.A.",IF(OR(G7="E"),"APLICA FORMATO 1","APLICA RUP"))</f>
        <v>APLICA RUP</v>
      </c>
      <c r="J7" s="638"/>
      <c r="K7" s="227" t="s">
        <v>78</v>
      </c>
      <c r="L7" s="227" t="s">
        <v>78</v>
      </c>
      <c r="M7" s="365" t="s">
        <v>108</v>
      </c>
      <c r="N7" s="97" t="str">
        <f>IF(B7="","N. A.",IF(AND(K7="SI",L7="SI",M7="N.A."),"HABIL","NO HABIL"))</f>
        <v>HABIL</v>
      </c>
      <c r="O7" s="229">
        <v>51</v>
      </c>
      <c r="P7" s="666" t="s">
        <v>163</v>
      </c>
      <c r="Q7" s="667"/>
      <c r="R7" s="667"/>
      <c r="S7" s="667"/>
      <c r="T7" s="667"/>
      <c r="U7" s="668"/>
      <c r="V7" s="83"/>
      <c r="W7" s="83"/>
      <c r="X7" s="83"/>
      <c r="Y7" s="81"/>
      <c r="Z7" s="81"/>
      <c r="AA7" s="81"/>
      <c r="AB7" s="85">
        <v>3</v>
      </c>
      <c r="AC7" s="139">
        <v>3714537836</v>
      </c>
      <c r="AD7" s="140" t="e">
        <f>#N/A</f>
        <v>#N/A</v>
      </c>
      <c r="AE7" s="141" t="e">
        <f>#N/A</f>
        <v>#N/A</v>
      </c>
      <c r="AF7" s="141" t="e">
        <f>#N/A</f>
        <v>#N/A</v>
      </c>
      <c r="AG7" s="154">
        <v>38.299999999999997</v>
      </c>
      <c r="AH7" s="81"/>
      <c r="AI7" s="81"/>
      <c r="AJ7" s="81"/>
      <c r="AK7" s="81"/>
      <c r="AL7" s="1"/>
      <c r="AM7" s="88" t="s">
        <v>77</v>
      </c>
      <c r="AN7" s="88" t="s">
        <v>78</v>
      </c>
      <c r="AO7" s="88" t="e">
        <f>IF(#REF!="HABIL",1,0)</f>
        <v>#REF!</v>
      </c>
      <c r="AP7" s="89" t="e">
        <f>SUM(AO7:AO10)</f>
        <v>#REF!</v>
      </c>
      <c r="AQ7" s="88" t="e">
        <f>IF(#REF!="HABIL",1,0)</f>
        <v>#REF!</v>
      </c>
      <c r="AR7" s="89" t="e">
        <f>SUM(AQ7:AQ10)</f>
        <v>#REF!</v>
      </c>
      <c r="AS7" s="88">
        <f>IF(B7="",0,IF(G7="O",17420*C7,0))</f>
        <v>10452</v>
      </c>
      <c r="AT7" s="88">
        <f>SUM(AS7:AS10)</f>
        <v>17420</v>
      </c>
      <c r="AU7" s="88" t="s">
        <v>74</v>
      </c>
      <c r="AV7" s="88" t="s">
        <v>76</v>
      </c>
      <c r="AW7" s="88">
        <v>0</v>
      </c>
    </row>
    <row r="8" spans="1:49" ht="29.25" customHeight="1" x14ac:dyDescent="0.2">
      <c r="A8" s="107" t="str">
        <f>CONCATENATE($A$6,"B")</f>
        <v>7B</v>
      </c>
      <c r="B8" s="106" t="str">
        <f>IFERROR(INDEX(PROPONENTES!$F$1:$F$26,MATCH(A8,PROPONENTES!$E$1:$E$26,0)),"")</f>
        <v>SUPERING SAS</v>
      </c>
      <c r="C8" s="669">
        <f>IFERROR(INDEX(PROPONENTES!$H$1:$H$26,MATCH(A8,PROPONENTES!$E$1:$E$26,0)),"")</f>
        <v>0.3</v>
      </c>
      <c r="D8" s="669"/>
      <c r="E8" s="638" t="str">
        <f>IF(B8="","N. A.",IF(C8&lt;=40%,"NO LIDER","LIDER"))</f>
        <v>NO LIDER</v>
      </c>
      <c r="F8" s="638"/>
      <c r="G8" s="670" t="s">
        <v>77</v>
      </c>
      <c r="H8" s="670"/>
      <c r="I8" s="639" t="str">
        <f>IF(B8="","N.A.",IF(OR(G8="E"),"APLICA FORMATO 1","APLICA RUP"))</f>
        <v>APLICA RUP</v>
      </c>
      <c r="J8" s="639"/>
      <c r="K8" s="168" t="s">
        <v>78</v>
      </c>
      <c r="L8" s="168" t="s">
        <v>78</v>
      </c>
      <c r="M8" s="366" t="s">
        <v>108</v>
      </c>
      <c r="N8" s="48" t="str">
        <f>IF(B8="","N. A.",IF(AND(K8="SI",L8="SI",M8="N.A."),"HABIL","NO HABIL"))</f>
        <v>HABIL</v>
      </c>
      <c r="O8" s="230">
        <v>62</v>
      </c>
      <c r="P8" s="666" t="s">
        <v>163</v>
      </c>
      <c r="Q8" s="667"/>
      <c r="R8" s="667"/>
      <c r="S8" s="667"/>
      <c r="T8" s="667"/>
      <c r="U8" s="668"/>
      <c r="V8" s="83"/>
      <c r="W8" s="83"/>
      <c r="X8" s="83"/>
      <c r="Y8" s="81"/>
      <c r="Z8" s="81"/>
      <c r="AA8" s="81"/>
      <c r="AB8" s="85">
        <v>4</v>
      </c>
      <c r="AC8" s="139">
        <v>2398084008</v>
      </c>
      <c r="AD8" s="140" t="e">
        <f>#N/A</f>
        <v>#N/A</v>
      </c>
      <c r="AE8" s="141" t="e">
        <f>#N/A</f>
        <v>#N/A</v>
      </c>
      <c r="AF8" s="141" t="e">
        <f>#N/A</f>
        <v>#N/A</v>
      </c>
      <c r="AG8" s="154">
        <v>54.4</v>
      </c>
      <c r="AH8" s="81"/>
      <c r="AI8" s="81"/>
      <c r="AJ8" s="81"/>
      <c r="AK8" s="81"/>
      <c r="AL8" s="1"/>
      <c r="AM8" s="88" t="s">
        <v>79</v>
      </c>
      <c r="AN8" s="88" t="s">
        <v>111</v>
      </c>
      <c r="AO8" s="88" t="e">
        <f>IF(#REF!="HABIL",1,0)</f>
        <v>#REF!</v>
      </c>
      <c r="AP8" s="89"/>
      <c r="AQ8" s="88" t="e">
        <f>IF(#REF!="HABIL",1,0)</f>
        <v>#REF!</v>
      </c>
      <c r="AR8" s="88"/>
      <c r="AS8" s="88">
        <f>IF(B8="",0,IF(G8="O",17420*C8,0))</f>
        <v>5226</v>
      </c>
      <c r="AU8" s="88" t="s">
        <v>75</v>
      </c>
      <c r="AV8" s="88" t="s">
        <v>108</v>
      </c>
      <c r="AW8" s="88">
        <v>150</v>
      </c>
    </row>
    <row r="9" spans="1:49" ht="27.75" customHeight="1" x14ac:dyDescent="0.2">
      <c r="A9" s="107" t="str">
        <f>CONCATENATE($A$6,"C")</f>
        <v>7C</v>
      </c>
      <c r="B9" s="106" t="str">
        <f>IFERROR(INDEX(PROPONENTES!$F$1:$F$26,MATCH(A9,PROPONENTES!$E$1:$E$26,0)),"")</f>
        <v>RIO ARQUITECTURA E INGENIERIA SA</v>
      </c>
      <c r="C9" s="669">
        <f>IFERROR(INDEX(PROPONENTES!$H$1:$H$26,MATCH(A9,PROPONENTES!$E$1:$E$26,0)),"")</f>
        <v>0.1</v>
      </c>
      <c r="D9" s="669"/>
      <c r="E9" s="638" t="str">
        <f>IF(B9="","N. A.",IF(C9&lt;=40%,"NO LIDER","LIDER"))</f>
        <v>NO LIDER</v>
      </c>
      <c r="F9" s="638"/>
      <c r="G9" s="670" t="s">
        <v>77</v>
      </c>
      <c r="H9" s="670"/>
      <c r="I9" s="639" t="str">
        <f>IF(B9="","N.A.",IF(OR(G9="E"),"APLICA FORMATO 1","APLICA RUP"))</f>
        <v>APLICA RUP</v>
      </c>
      <c r="J9" s="639"/>
      <c r="K9" s="168" t="s">
        <v>78</v>
      </c>
      <c r="L9" s="168" t="s">
        <v>78</v>
      </c>
      <c r="M9" s="366" t="s">
        <v>108</v>
      </c>
      <c r="N9" s="48" t="str">
        <f>IF(B9="","N. A.",IF(AND(K9="SI",L9="SI",M9="N.A."),"HABIL","NO HABIL"))</f>
        <v>HABIL</v>
      </c>
      <c r="O9" s="230" t="s">
        <v>365</v>
      </c>
      <c r="P9" s="666" t="s">
        <v>163</v>
      </c>
      <c r="Q9" s="667"/>
      <c r="R9" s="667"/>
      <c r="S9" s="667"/>
      <c r="T9" s="667"/>
      <c r="U9" s="668"/>
      <c r="V9" s="83"/>
      <c r="W9" s="83"/>
      <c r="X9" s="83"/>
      <c r="Y9" s="81"/>
      <c r="Z9" s="81"/>
      <c r="AA9" s="81"/>
      <c r="AB9" s="85">
        <v>5</v>
      </c>
      <c r="AC9" s="139">
        <v>1779028594.4000001</v>
      </c>
      <c r="AD9" s="140" t="e">
        <f>#N/A</f>
        <v>#N/A</v>
      </c>
      <c r="AE9" s="141" t="e">
        <f>#N/A</f>
        <v>#N/A</v>
      </c>
      <c r="AF9" s="141" t="e">
        <f>#N/A</f>
        <v>#N/A</v>
      </c>
      <c r="AG9" s="154">
        <v>82.04</v>
      </c>
      <c r="AH9" s="81"/>
      <c r="AI9" s="81"/>
      <c r="AJ9" s="81"/>
      <c r="AK9" s="81"/>
      <c r="AL9" s="1"/>
      <c r="AM9" s="88"/>
      <c r="AN9" s="88"/>
      <c r="AO9" s="88" t="e">
        <f>IF(#REF!="HABIL",1,0)</f>
        <v>#REF!</v>
      </c>
      <c r="AP9" s="89"/>
      <c r="AQ9" s="88" t="e">
        <f>IF(#REF!="HABIL",1,0)</f>
        <v>#REF!</v>
      </c>
      <c r="AR9" s="88"/>
      <c r="AS9" s="88">
        <f>IF(B9="",0,IF(G9="O",17420*C9,0))</f>
        <v>1742</v>
      </c>
      <c r="AW9" s="88" t="s">
        <v>120</v>
      </c>
    </row>
    <row r="10" spans="1:49" ht="29.25" customHeight="1" thickBot="1" x14ac:dyDescent="0.25">
      <c r="A10" s="109"/>
      <c r="B10" s="110" t="str">
        <f>IFERROR(INDEX(PROPONENTES!$F$1:$F$23,MATCH(A10,PROPONENTES!$E$1:$E$23,0)),"")</f>
        <v/>
      </c>
      <c r="C10" s="671" t="str">
        <f>IFERROR(INDEX(PROPONENTES!$H$1:$H$23,MATCH(A10,PROPONENTES!$E$1:$E$23,0)),"")</f>
        <v/>
      </c>
      <c r="D10" s="671"/>
      <c r="E10" s="628"/>
      <c r="F10" s="628"/>
      <c r="G10" s="672"/>
      <c r="H10" s="672"/>
      <c r="I10" s="628"/>
      <c r="J10" s="628"/>
      <c r="K10" s="228"/>
      <c r="L10" s="228"/>
      <c r="M10" s="228"/>
      <c r="N10" s="49"/>
      <c r="O10" s="178"/>
      <c r="P10" s="673"/>
      <c r="Q10" s="674"/>
      <c r="R10" s="674"/>
      <c r="S10" s="674"/>
      <c r="T10" s="674"/>
      <c r="U10" s="675"/>
      <c r="V10" s="83"/>
      <c r="W10" s="83"/>
      <c r="X10" s="83"/>
      <c r="Y10" s="81"/>
      <c r="Z10" s="81"/>
      <c r="AA10" s="81"/>
      <c r="AB10" s="85">
        <v>6</v>
      </c>
      <c r="AC10" s="139">
        <v>2424911490</v>
      </c>
      <c r="AD10" s="140" t="e">
        <f>#N/A</f>
        <v>#N/A</v>
      </c>
      <c r="AE10" s="141" t="e">
        <f>#N/A</f>
        <v>#N/A</v>
      </c>
      <c r="AF10" s="141" t="e">
        <f>#N/A</f>
        <v>#N/A</v>
      </c>
      <c r="AG10" s="154">
        <v>285</v>
      </c>
      <c r="AH10" s="81"/>
      <c r="AI10" s="81"/>
      <c r="AJ10" s="81"/>
      <c r="AK10" s="81"/>
      <c r="AL10" s="1"/>
      <c r="AM10" s="88"/>
      <c r="AN10" s="88"/>
      <c r="AO10" s="88" t="e">
        <f>IF(#REF!="HABIL",1,0)</f>
        <v>#REF!</v>
      </c>
      <c r="AP10" s="89"/>
      <c r="AQ10" s="88" t="e">
        <f>IF(#REF!="HABIL",1,0)</f>
        <v>#REF!</v>
      </c>
      <c r="AR10" s="88"/>
      <c r="AS10" s="88">
        <f>IF(B10="",0,IF(G10="O",17420*C10,0))</f>
        <v>0</v>
      </c>
    </row>
    <row r="11" spans="1:49" ht="29.25" customHeight="1" x14ac:dyDescent="0.2">
      <c r="A11" s="142"/>
      <c r="B11" s="143"/>
      <c r="C11" s="144"/>
      <c r="D11" s="144"/>
      <c r="E11" s="123"/>
      <c r="F11" s="123"/>
      <c r="G11" s="146"/>
      <c r="H11" s="146"/>
      <c r="I11" s="123"/>
      <c r="J11" s="123"/>
      <c r="K11" s="147"/>
      <c r="L11" s="147"/>
      <c r="M11" s="147"/>
      <c r="N11" s="123"/>
      <c r="O11" s="123"/>
      <c r="P11" s="145"/>
      <c r="Q11" s="145"/>
      <c r="R11" s="145"/>
      <c r="S11" s="145"/>
      <c r="T11" s="145"/>
      <c r="U11" s="145"/>
      <c r="V11" s="83"/>
      <c r="W11" s="83"/>
      <c r="X11" s="83"/>
      <c r="Y11" s="81"/>
      <c r="Z11" s="81"/>
      <c r="AA11" s="81"/>
      <c r="AB11" s="85">
        <v>7</v>
      </c>
      <c r="AC11" s="139">
        <v>4834246259</v>
      </c>
      <c r="AD11" s="140" t="e">
        <f>#N/A</f>
        <v>#N/A</v>
      </c>
      <c r="AE11" s="141" t="e">
        <f>#N/A</f>
        <v>#N/A</v>
      </c>
      <c r="AF11" s="141" t="e">
        <f>#N/A</f>
        <v>#N/A</v>
      </c>
      <c r="AG11" s="154">
        <v>66.599999999999994</v>
      </c>
      <c r="AH11" s="81"/>
      <c r="AI11" s="81"/>
      <c r="AJ11" s="81"/>
      <c r="AK11" s="81"/>
      <c r="AL11" s="1"/>
      <c r="AM11" s="88"/>
      <c r="AN11" s="88"/>
      <c r="AO11" s="88"/>
      <c r="AP11" s="89"/>
      <c r="AQ11" s="88"/>
      <c r="AR11" s="88"/>
      <c r="AS11" s="88"/>
    </row>
    <row r="12" spans="1:49" ht="32.25" customHeight="1" x14ac:dyDescent="0.2">
      <c r="AB12" s="85">
        <v>8</v>
      </c>
      <c r="AC12" s="139">
        <v>11012084020</v>
      </c>
      <c r="AD12" s="139">
        <f>+AC12</f>
        <v>11012084020</v>
      </c>
      <c r="AE12" s="141" t="e">
        <f>#N/A</f>
        <v>#N/A</v>
      </c>
      <c r="AF12" s="141" t="e">
        <f>#N/A</f>
        <v>#N/A</v>
      </c>
      <c r="AG12" s="154">
        <v>131.5</v>
      </c>
      <c r="AL12" s="1"/>
      <c r="AP12" s="3"/>
    </row>
    <row r="13" spans="1:49" ht="18" customHeight="1" thickBot="1" x14ac:dyDescent="0.25">
      <c r="A13" s="74" t="s">
        <v>125</v>
      </c>
      <c r="T13" s="1"/>
      <c r="Y13" s="3"/>
      <c r="AB13" s="85">
        <v>9</v>
      </c>
      <c r="AC13" s="139">
        <v>9870934329</v>
      </c>
      <c r="AD13" s="139">
        <f>+AC13</f>
        <v>9870934329</v>
      </c>
      <c r="AE13" s="141" t="e">
        <f>#N/A</f>
        <v>#N/A</v>
      </c>
      <c r="AF13" s="141" t="e">
        <f>#N/A</f>
        <v>#N/A</v>
      </c>
      <c r="AG13" s="154">
        <v>94.55</v>
      </c>
      <c r="AQ13" s="3"/>
    </row>
    <row r="14" spans="1:49"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v>10</v>
      </c>
      <c r="AC14" s="139">
        <v>6558945207.6000004</v>
      </c>
      <c r="AD14" s="139">
        <f>+AC14*1.5</f>
        <v>9838417811.4000015</v>
      </c>
      <c r="AE14" s="141" t="e">
        <f>#N/A</f>
        <v>#N/A</v>
      </c>
      <c r="AF14" s="141" t="e">
        <f>#N/A</f>
        <v>#N/A</v>
      </c>
      <c r="AG14" s="155">
        <v>325.17500000000001</v>
      </c>
      <c r="AQ14" s="3"/>
    </row>
    <row r="15" spans="1:49" ht="96.75" customHeight="1" x14ac:dyDescent="0.2">
      <c r="A15" s="654" t="s">
        <v>1</v>
      </c>
      <c r="B15" s="656"/>
      <c r="C15" s="660"/>
      <c r="D15" s="661"/>
      <c r="E15" s="661"/>
      <c r="F15" s="662"/>
      <c r="G15" s="660"/>
      <c r="H15" s="662"/>
      <c r="I15" s="47" t="s">
        <v>107</v>
      </c>
      <c r="J15" s="47" t="s">
        <v>161</v>
      </c>
      <c r="K15" s="665"/>
      <c r="L15" s="645"/>
      <c r="M15" s="646"/>
      <c r="N15" s="646"/>
      <c r="O15" s="646"/>
      <c r="P15" s="646"/>
      <c r="Q15" s="647"/>
      <c r="T15" s="1"/>
      <c r="Y15" s="3"/>
      <c r="AB15" s="85"/>
      <c r="AC15" s="139"/>
      <c r="AD15" s="139"/>
      <c r="AE15" s="141"/>
      <c r="AM15" s="2"/>
      <c r="AR15" s="3"/>
    </row>
    <row r="16" spans="1:49" ht="36.75" customHeight="1" thickBot="1" x14ac:dyDescent="0.25">
      <c r="A16" s="77">
        <f>+A6</f>
        <v>7</v>
      </c>
      <c r="B16" s="76" t="str">
        <f>+B6</f>
        <v>CONSORCIO NORTE DE COLOMBIA</v>
      </c>
      <c r="C16" s="648" t="str">
        <f>+C6</f>
        <v>%</v>
      </c>
      <c r="D16" s="649"/>
      <c r="E16" s="650" t="str">
        <f>+E6</f>
        <v>Condición integrante</v>
      </c>
      <c r="F16" s="651"/>
      <c r="G16" s="91"/>
      <c r="H16" s="92"/>
      <c r="I16" s="93"/>
      <c r="J16" s="76" t="str">
        <f>IF(AND(J17="N. A.",J18="N. A.",J19="N. A.",J20="N. A."),"N. A.",IF(AS8&gt;=1,"HABIL","NO HABIL"))</f>
        <v>HABIL</v>
      </c>
      <c r="K16" s="78"/>
      <c r="L16" s="641"/>
      <c r="M16" s="642"/>
      <c r="N16" s="642"/>
      <c r="O16" s="642"/>
      <c r="P16" s="642"/>
      <c r="Q16" s="643"/>
      <c r="T16" s="1"/>
      <c r="Y16" s="3"/>
      <c r="AM16" s="2"/>
      <c r="AR16" s="3"/>
    </row>
    <row r="17" spans="1:45" ht="31.5" customHeight="1" thickTop="1" x14ac:dyDescent="0.2">
      <c r="A17" s="95" t="str">
        <f>+A7</f>
        <v>7A</v>
      </c>
      <c r="B17" s="96" t="str">
        <f>IFERROR(INDEX(PROPONENTES!$F$1:$F$26,MATCH(A17,PROPONENTES!$E$1:$E$26,0)),"")</f>
        <v>INTERPRO SAS</v>
      </c>
      <c r="C17" s="637">
        <f>IFERROR(INDEX(PROPONENTES!$H$1:$H$26,MATCH(A17,PROPONENTES!$E$1:$E$26,0)),"")</f>
        <v>0.6</v>
      </c>
      <c r="D17" s="638"/>
      <c r="E17" s="638" t="str">
        <f>+E7</f>
        <v>LIDER</v>
      </c>
      <c r="F17" s="638"/>
      <c r="G17" s="652" t="s">
        <v>77</v>
      </c>
      <c r="H17" s="638"/>
      <c r="I17" s="221">
        <v>17.221910000000001</v>
      </c>
      <c r="J17" s="167" t="str">
        <f>IF(B7="","N. A.",IF(AND(G7="O",I17&gt;=10),"HABIL",IF(AND(G7="O",I17&lt;10),"NO HABIL","N. A.")))</f>
        <v>HABIL</v>
      </c>
      <c r="K17" s="222">
        <v>52</v>
      </c>
      <c r="L17" s="641"/>
      <c r="M17" s="642"/>
      <c r="N17" s="642"/>
      <c r="O17" s="642"/>
      <c r="P17" s="642"/>
      <c r="Q17" s="643"/>
      <c r="T17" s="1"/>
      <c r="Y17" s="3"/>
      <c r="AM17" s="2"/>
      <c r="AR17" s="3"/>
    </row>
    <row r="18" spans="1:45" ht="39" customHeight="1" x14ac:dyDescent="0.2">
      <c r="A18" s="98" t="str">
        <f>+A8</f>
        <v>7B</v>
      </c>
      <c r="B18" s="99" t="str">
        <f>IFERROR(INDEX(PROPONENTES!$F$1:$F$26,MATCH(A18,PROPONENTES!$E$1:$E$26,0)),"")</f>
        <v>SUPERING SAS</v>
      </c>
      <c r="C18" s="759">
        <f>IFERROR(INDEX(PROPONENTES!$H$1:$H$26,MATCH(A18,PROPONENTES!$E$1:$E$26,0)),"")</f>
        <v>0.3</v>
      </c>
      <c r="D18" s="639"/>
      <c r="E18" s="639" t="str">
        <f>+E8</f>
        <v>NO LIDER</v>
      </c>
      <c r="F18" s="639"/>
      <c r="G18" s="640" t="s">
        <v>77</v>
      </c>
      <c r="H18" s="639"/>
      <c r="I18" s="223">
        <v>31.12</v>
      </c>
      <c r="J18" s="275" t="str">
        <f>IF(B8="","N. A.",IF(AND(G8="O",I18&gt;=10),"HABIL",IF(AND(G8="O",I18&lt;10),"NO HABIL","N. A.")))</f>
        <v>HABIL</v>
      </c>
      <c r="K18" s="230">
        <v>62</v>
      </c>
      <c r="L18" s="641"/>
      <c r="M18" s="642"/>
      <c r="N18" s="642"/>
      <c r="O18" s="642"/>
      <c r="P18" s="642"/>
      <c r="Q18" s="643"/>
      <c r="T18" s="1"/>
      <c r="Y18" s="3"/>
      <c r="AM18" s="2"/>
      <c r="AR18" s="3"/>
    </row>
    <row r="19" spans="1:45" ht="27.75" customHeight="1" x14ac:dyDescent="0.2">
      <c r="A19" s="98" t="str">
        <f>+A9</f>
        <v>7C</v>
      </c>
      <c r="B19" s="99" t="str">
        <f>IFERROR(INDEX(PROPONENTES!$F$1:$F$26,MATCH(A19,PROPONENTES!$E$1:$E$26,0)),"")</f>
        <v>RIO ARQUITECTURA E INGENIERIA SA</v>
      </c>
      <c r="C19" s="759">
        <f>IFERROR(INDEX(PROPONENTES!$H$1:$H$26,MATCH(A19,PROPONENTES!$E$1:$E$26,0)),"")</f>
        <v>0.1</v>
      </c>
      <c r="D19" s="639"/>
      <c r="E19" s="639" t="str">
        <f>+E9</f>
        <v>NO LIDER</v>
      </c>
      <c r="F19" s="639"/>
      <c r="G19" s="640" t="s">
        <v>77</v>
      </c>
      <c r="H19" s="639"/>
      <c r="I19" s="223">
        <v>20.939080000000001</v>
      </c>
      <c r="J19" s="46" t="str">
        <f>IF(B9="","N. A.",IF(AND(G9="O",I19&gt;=10),"HABIL",IF(AND(G9="O",I19&lt;10),"NO HABIL","N. A.")))</f>
        <v>HABIL</v>
      </c>
      <c r="K19" s="230" t="s">
        <v>365</v>
      </c>
      <c r="L19" s="641"/>
      <c r="M19" s="642"/>
      <c r="N19" s="642"/>
      <c r="O19" s="642"/>
      <c r="P19" s="642"/>
      <c r="Q19" s="643"/>
      <c r="T19" s="1"/>
      <c r="Y19" s="3"/>
      <c r="AM19" s="2"/>
      <c r="AR19" s="3"/>
    </row>
    <row r="20" spans="1:45" ht="29.25" customHeight="1" thickBot="1" x14ac:dyDescent="0.25">
      <c r="A20" s="100"/>
      <c r="B20" s="101"/>
      <c r="C20" s="627"/>
      <c r="D20" s="628"/>
      <c r="E20" s="628"/>
      <c r="F20" s="628"/>
      <c r="G20" s="629"/>
      <c r="H20" s="628"/>
      <c r="I20" s="225"/>
      <c r="J20" s="75"/>
      <c r="K20" s="226"/>
      <c r="L20" s="630"/>
      <c r="M20" s="631"/>
      <c r="N20" s="631"/>
      <c r="O20" s="631"/>
      <c r="P20" s="631"/>
      <c r="Q20" s="632"/>
      <c r="T20" s="1"/>
      <c r="Y20" s="3"/>
      <c r="AM20" s="2"/>
      <c r="AR20" s="3"/>
    </row>
    <row r="21" spans="1:45" ht="29.25" customHeight="1" x14ac:dyDescent="0.2">
      <c r="A21" s="123"/>
      <c r="B21" s="124"/>
      <c r="C21" s="125"/>
      <c r="D21" s="123"/>
      <c r="E21" s="123"/>
      <c r="F21" s="123"/>
      <c r="G21" s="126"/>
      <c r="H21" s="123"/>
      <c r="I21" s="128"/>
      <c r="J21" s="129"/>
      <c r="K21" s="130"/>
      <c r="L21" s="127"/>
      <c r="M21" s="127"/>
      <c r="N21" s="127"/>
      <c r="O21" s="127"/>
      <c r="P21" s="127"/>
      <c r="Q21" s="127"/>
      <c r="T21" s="1"/>
      <c r="Y21" s="3"/>
      <c r="AM21" s="2"/>
      <c r="AR21" s="3"/>
    </row>
    <row r="22" spans="1:45" ht="16.5" thickBot="1" x14ac:dyDescent="0.25">
      <c r="A22" s="74" t="s">
        <v>213</v>
      </c>
      <c r="T22" s="1"/>
      <c r="Y22" s="3"/>
      <c r="AA22" s="113"/>
      <c r="AB22" s="113"/>
      <c r="AC22" s="113"/>
      <c r="AD22" s="113"/>
      <c r="AE22" s="113"/>
      <c r="AF22" s="113"/>
      <c r="AM22" s="2"/>
      <c r="AR22" s="3"/>
    </row>
    <row r="23" spans="1:45" ht="141.75" customHeight="1" x14ac:dyDescent="0.2">
      <c r="A23" s="633" t="s">
        <v>112</v>
      </c>
      <c r="B23" s="634"/>
      <c r="C23" s="635" t="s">
        <v>113</v>
      </c>
      <c r="D23" s="634"/>
      <c r="E23" s="635" t="s">
        <v>70</v>
      </c>
      <c r="F23" s="634"/>
      <c r="G23" s="619" t="s">
        <v>114</v>
      </c>
      <c r="H23" s="620"/>
      <c r="I23" s="620"/>
      <c r="J23" s="620"/>
      <c r="K23" s="636"/>
      <c r="L23" s="242" t="s">
        <v>115</v>
      </c>
      <c r="M23" s="242" t="s">
        <v>126</v>
      </c>
      <c r="N23" s="242" t="s">
        <v>117</v>
      </c>
      <c r="O23" s="242" t="s">
        <v>118</v>
      </c>
      <c r="P23" s="242" t="s">
        <v>127</v>
      </c>
      <c r="Q23" s="242" t="s">
        <v>106</v>
      </c>
      <c r="R23" s="619" t="s">
        <v>2</v>
      </c>
      <c r="S23" s="620"/>
      <c r="T23" s="620"/>
      <c r="U23" s="620"/>
      <c r="V23" s="620"/>
      <c r="W23" s="620"/>
      <c r="X23" s="620"/>
      <c r="Y23" s="621"/>
      <c r="Z23" s="114"/>
      <c r="AA23" s="114"/>
      <c r="AB23" s="114"/>
      <c r="AC23" s="114"/>
      <c r="AD23" s="114"/>
      <c r="AE23" s="114"/>
      <c r="AF23" s="111"/>
      <c r="AG23" s="111"/>
      <c r="AH23" s="111"/>
      <c r="AI23" s="111"/>
      <c r="AJ23" s="111"/>
      <c r="AK23" s="111"/>
      <c r="AL23" s="111"/>
      <c r="AQ23" s="3"/>
    </row>
    <row r="24" spans="1:45" ht="112.5" customHeight="1" x14ac:dyDescent="0.2">
      <c r="A24" s="622" t="s">
        <v>290</v>
      </c>
      <c r="B24" s="623"/>
      <c r="C24" s="531" t="str">
        <f>IFERROR(INDEX($E$7:$E$10,MATCH(A24,$B$7:$B$10,0)),"N.A.")</f>
        <v>LIDER</v>
      </c>
      <c r="D24" s="532"/>
      <c r="E24" s="531">
        <v>1</v>
      </c>
      <c r="F24" s="532"/>
      <c r="G24" s="885" t="str">
        <f ca="1">G24</f>
        <v>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Municipio de Bucaramanga.  Contrato 001 de 2006.  Enero 23 de 2006</v>
      </c>
      <c r="H24" s="886"/>
      <c r="I24" s="886"/>
      <c r="J24" s="886"/>
      <c r="K24" s="887"/>
      <c r="L24" s="374" t="s">
        <v>275</v>
      </c>
      <c r="M24" s="375" t="s">
        <v>276</v>
      </c>
      <c r="N24" s="376">
        <v>38754</v>
      </c>
      <c r="O24" s="377">
        <v>39682</v>
      </c>
      <c r="P24" s="755" t="s">
        <v>341</v>
      </c>
      <c r="Q24" s="181" t="s">
        <v>366</v>
      </c>
      <c r="R24" s="565"/>
      <c r="S24" s="566"/>
      <c r="T24" s="566"/>
      <c r="U24" s="566"/>
      <c r="V24" s="566"/>
      <c r="W24" s="566"/>
      <c r="X24" s="566"/>
      <c r="Y24" s="567"/>
      <c r="Z24" s="112"/>
      <c r="AA24" s="112"/>
      <c r="AB24" s="112"/>
      <c r="AC24" s="112"/>
      <c r="AD24" s="112"/>
      <c r="AE24" s="112"/>
      <c r="AF24" s="112"/>
      <c r="AG24" s="112"/>
      <c r="AH24" s="112"/>
      <c r="AI24" s="112"/>
      <c r="AJ24" s="112"/>
      <c r="AK24" s="112"/>
      <c r="AL24" s="112"/>
      <c r="AN24" s="1">
        <f>IF(C24="MAP",IF(M24&gt;=30%,#REF!,#REF!*M24),0)</f>
        <v>0</v>
      </c>
      <c r="AO24" s="1">
        <f>SUM(AN24:AN26)</f>
        <v>0</v>
      </c>
      <c r="AQ24" s="3"/>
    </row>
    <row r="25" spans="1:45" ht="54" customHeight="1" x14ac:dyDescent="0.2">
      <c r="A25" s="622" t="s">
        <v>291</v>
      </c>
      <c r="B25" s="623"/>
      <c r="C25" s="531" t="str">
        <f>IFERROR(INDEX($E$7:$E$9,MATCH(A25,$B$7:$B$9,0)),"N.A.")</f>
        <v>NO LIDER</v>
      </c>
      <c r="D25" s="532"/>
      <c r="E25" s="531">
        <v>1</v>
      </c>
      <c r="F25" s="532"/>
      <c r="G25" s="815" t="s">
        <v>262</v>
      </c>
      <c r="H25" s="816"/>
      <c r="I25" s="816"/>
      <c r="J25" s="816"/>
      <c r="K25" s="817"/>
      <c r="L25" s="374" t="str">
        <f>+M33</f>
        <v xml:space="preserve">SECRETARIA DE COMUNICACIONES Y TRANSPORTES DE INSFRAESTRUCTURA </v>
      </c>
      <c r="M25" s="375" t="s">
        <v>276</v>
      </c>
      <c r="N25" s="376">
        <f>+N33</f>
        <v>38807</v>
      </c>
      <c r="O25" s="376">
        <f>+O33</f>
        <v>39813</v>
      </c>
      <c r="P25" s="557"/>
      <c r="Q25" s="193" t="str">
        <f>+T33</f>
        <v>141 a 142</v>
      </c>
      <c r="R25" s="148"/>
      <c r="S25" s="149"/>
      <c r="T25" s="149"/>
      <c r="U25" s="149"/>
      <c r="V25" s="149"/>
      <c r="W25" s="149"/>
      <c r="X25" s="149"/>
      <c r="Y25" s="150"/>
      <c r="Z25" s="112"/>
      <c r="AA25" s="112"/>
      <c r="AB25" s="112"/>
      <c r="AC25" s="112"/>
      <c r="AD25" s="112"/>
      <c r="AE25" s="112"/>
      <c r="AF25" s="112"/>
      <c r="AG25" s="112"/>
      <c r="AH25" s="112"/>
      <c r="AI25" s="112"/>
      <c r="AJ25" s="112"/>
      <c r="AK25" s="112"/>
      <c r="AL25" s="112"/>
      <c r="AQ25" s="3"/>
    </row>
    <row r="26" spans="1:45" ht="68.25" customHeight="1" thickBot="1" x14ac:dyDescent="0.25">
      <c r="A26" s="897" t="s">
        <v>292</v>
      </c>
      <c r="B26" s="898"/>
      <c r="C26" s="899" t="str">
        <f>IFERROR(INDEX($E$7:$E$9,MATCH(A26,$B$7:$B$9,0)),"N.A.")</f>
        <v>NO LIDER</v>
      </c>
      <c r="D26" s="900"/>
      <c r="E26" s="899">
        <v>3</v>
      </c>
      <c r="F26" s="900"/>
      <c r="G26" s="894" t="str">
        <f>+G34</f>
        <v>Interventoria Técnica, Administrativa, Financiera y ambiental para los proyectos de mejoramiento y mantenimiento de la red terciaria en el departamento del Putumayo</v>
      </c>
      <c r="H26" s="895"/>
      <c r="I26" s="895"/>
      <c r="J26" s="895"/>
      <c r="K26" s="896"/>
      <c r="L26" s="408" t="str">
        <f>+M34</f>
        <v>FONADE</v>
      </c>
      <c r="M26" s="413" t="s">
        <v>276</v>
      </c>
      <c r="N26" s="409">
        <f>+N34</f>
        <v>41089</v>
      </c>
      <c r="O26" s="409">
        <f>+O34</f>
        <v>41305</v>
      </c>
      <c r="P26" s="558"/>
      <c r="Q26" s="387" t="str">
        <f>+T34</f>
        <v>144 A 157F</v>
      </c>
      <c r="R26" s="891" t="s">
        <v>377</v>
      </c>
      <c r="S26" s="892"/>
      <c r="T26" s="892"/>
      <c r="U26" s="892"/>
      <c r="V26" s="892"/>
      <c r="W26" s="892"/>
      <c r="X26" s="892"/>
      <c r="Y26" s="893"/>
      <c r="Z26" s="112"/>
      <c r="AA26" s="112"/>
      <c r="AB26" s="112"/>
      <c r="AC26" s="112"/>
      <c r="AD26" s="112"/>
      <c r="AE26" s="112"/>
      <c r="AF26" s="112"/>
      <c r="AG26" s="112"/>
      <c r="AH26" s="112"/>
      <c r="AI26" s="112"/>
      <c r="AJ26" s="112"/>
      <c r="AK26" s="112"/>
      <c r="AL26" s="112"/>
      <c r="AQ26" s="3"/>
    </row>
    <row r="27" spans="1:45" ht="24" customHeight="1" x14ac:dyDescent="0.2">
      <c r="T27" s="1"/>
      <c r="U27" s="1"/>
      <c r="Y27" s="3"/>
      <c r="Z27" s="3"/>
      <c r="AM27" s="2"/>
      <c r="AN27" s="2"/>
      <c r="AS27" s="3"/>
    </row>
    <row r="28" spans="1:45" x14ac:dyDescent="0.2">
      <c r="T28" s="1"/>
      <c r="Y28" s="3"/>
      <c r="AM28" s="2"/>
    </row>
    <row r="29" spans="1:45" ht="16.5" thickBot="1" x14ac:dyDescent="0.25">
      <c r="A29" s="74" t="s">
        <v>217</v>
      </c>
      <c r="T29" s="1"/>
      <c r="Y29" s="3"/>
      <c r="AA29" s="113"/>
      <c r="AB29" s="113"/>
      <c r="AC29" s="113"/>
      <c r="AD29" s="113"/>
      <c r="AE29" s="113"/>
      <c r="AF29" s="113"/>
      <c r="AM29" s="2"/>
      <c r="AR29" s="3"/>
    </row>
    <row r="30" spans="1:45" ht="114" customHeight="1" x14ac:dyDescent="0.2">
      <c r="A30" s="615" t="s">
        <v>112</v>
      </c>
      <c r="B30" s="541"/>
      <c r="C30" s="539" t="s">
        <v>113</v>
      </c>
      <c r="D30" s="541"/>
      <c r="E30" s="539" t="s">
        <v>70</v>
      </c>
      <c r="F30" s="541"/>
      <c r="G30" s="608" t="s">
        <v>114</v>
      </c>
      <c r="H30" s="609"/>
      <c r="I30" s="609"/>
      <c r="J30" s="609"/>
      <c r="K30" s="758"/>
      <c r="L30" s="241" t="s">
        <v>128</v>
      </c>
      <c r="M30" s="243" t="s">
        <v>115</v>
      </c>
      <c r="N30" s="242" t="s">
        <v>117</v>
      </c>
      <c r="O30" s="242" t="s">
        <v>118</v>
      </c>
      <c r="P30" s="242" t="s">
        <v>116</v>
      </c>
      <c r="Q30" s="242" t="s">
        <v>119</v>
      </c>
      <c r="R30" s="279" t="s">
        <v>189</v>
      </c>
      <c r="S30" s="279" t="s">
        <v>249</v>
      </c>
      <c r="T30" s="242" t="s">
        <v>106</v>
      </c>
      <c r="U30" s="619" t="s">
        <v>2</v>
      </c>
      <c r="V30" s="620"/>
      <c r="W30" s="620"/>
      <c r="X30" s="620"/>
      <c r="Y30" s="620"/>
      <c r="Z30" s="620"/>
      <c r="AA30" s="621"/>
      <c r="AB30" s="114"/>
      <c r="AC30" s="114"/>
      <c r="AD30" s="114"/>
      <c r="AE30" s="114"/>
      <c r="AF30" s="111"/>
      <c r="AG30" s="111"/>
      <c r="AH30" s="111"/>
      <c r="AI30" s="111"/>
      <c r="AJ30" s="111"/>
      <c r="AK30" s="111"/>
      <c r="AL30" s="111"/>
      <c r="AQ30" s="3"/>
    </row>
    <row r="31" spans="1:45" ht="129" customHeight="1" x14ac:dyDescent="0.2">
      <c r="A31" s="588" t="s">
        <v>290</v>
      </c>
      <c r="B31" s="589"/>
      <c r="C31" s="531" t="str">
        <f>IFERROR(INDEX($E$7:$E$10,MATCH(A31,$B$7:$B$10,0)),"N.A.")</f>
        <v>LIDER</v>
      </c>
      <c r="D31" s="532"/>
      <c r="E31" s="531">
        <v>1</v>
      </c>
      <c r="F31" s="532"/>
      <c r="G31" s="571" t="s">
        <v>273</v>
      </c>
      <c r="H31" s="572"/>
      <c r="I31" s="572"/>
      <c r="J31" s="572"/>
      <c r="K31" s="573"/>
      <c r="L31" s="220" t="s">
        <v>133</v>
      </c>
      <c r="M31" s="182" t="s">
        <v>275</v>
      </c>
      <c r="N31" s="185">
        <v>38754</v>
      </c>
      <c r="O31" s="185">
        <v>39682</v>
      </c>
      <c r="P31" s="192">
        <v>0.5</v>
      </c>
      <c r="Q31" s="151">
        <f>3406916680/Hoja1!F25</f>
        <v>8350.2859803921565</v>
      </c>
      <c r="R31" s="288" t="str">
        <f>IF(((Q31)&gt;='Calificación Técnica'!E18),"HABIL",IF(((Q31)&lt;'Calificación Técnica'!E18),"NO HABIL",))</f>
        <v>HABIL</v>
      </c>
      <c r="S31" s="755" t="s">
        <v>464</v>
      </c>
      <c r="T31" s="181" t="s">
        <v>366</v>
      </c>
      <c r="U31" s="565"/>
      <c r="V31" s="566"/>
      <c r="W31" s="566"/>
      <c r="X31" s="566"/>
      <c r="Y31" s="566"/>
      <c r="Z31" s="566"/>
      <c r="AA31" s="567"/>
      <c r="AB31" s="112"/>
      <c r="AC31" s="112"/>
      <c r="AD31" s="112"/>
      <c r="AE31" s="112"/>
      <c r="AF31" s="112"/>
      <c r="AG31" s="112"/>
      <c r="AH31" s="112"/>
      <c r="AI31" s="112"/>
      <c r="AJ31" s="112"/>
      <c r="AK31" s="112"/>
      <c r="AL31" s="112"/>
      <c r="AM31" s="112"/>
      <c r="AN31" s="112"/>
      <c r="AP31" s="1">
        <f>IF(C31="MAP",IF(N31&gt;=30%,#REF!,#REF!*N31),0)</f>
        <v>0</v>
      </c>
      <c r="AQ31" s="1">
        <f>SUM(AP31:AP35)</f>
        <v>0</v>
      </c>
      <c r="AS31" s="3"/>
    </row>
    <row r="32" spans="1:45" ht="53.25" customHeight="1" x14ac:dyDescent="0.2">
      <c r="A32" s="588" t="s">
        <v>290</v>
      </c>
      <c r="B32" s="589"/>
      <c r="C32" s="531" t="str">
        <f>IFERROR(INDEX($E$7:$E$10,MATCH(A32,$B$7:$B$10,0)),"N.A.")</f>
        <v>LIDER</v>
      </c>
      <c r="D32" s="532"/>
      <c r="E32" s="531">
        <v>2</v>
      </c>
      <c r="F32" s="532"/>
      <c r="G32" s="888" t="s">
        <v>274</v>
      </c>
      <c r="H32" s="889"/>
      <c r="I32" s="889"/>
      <c r="J32" s="889"/>
      <c r="K32" s="890"/>
      <c r="L32" s="220" t="s">
        <v>133</v>
      </c>
      <c r="M32" s="182" t="s">
        <v>275</v>
      </c>
      <c r="N32" s="185">
        <v>39004</v>
      </c>
      <c r="O32" s="185">
        <v>39667</v>
      </c>
      <c r="P32" s="192">
        <v>0.5</v>
      </c>
      <c r="Q32" s="151">
        <f>3848051306/Hoja1!F25</f>
        <v>9431.4982990196077</v>
      </c>
      <c r="R32" s="288" t="str">
        <f>IF(((Q32)&gt;='Calificación Técnica'!E18),"HABIL",IF(((Q32)&lt;'Calificación Técnica'!E18),"NO HABIL",))</f>
        <v>HABIL</v>
      </c>
      <c r="S32" s="557"/>
      <c r="T32" s="181" t="s">
        <v>367</v>
      </c>
      <c r="U32" s="565"/>
      <c r="V32" s="566"/>
      <c r="W32" s="566"/>
      <c r="X32" s="566"/>
      <c r="Y32" s="566"/>
      <c r="Z32" s="566"/>
      <c r="AA32" s="567"/>
      <c r="AB32" s="112"/>
      <c r="AC32" s="112"/>
      <c r="AD32" s="112"/>
      <c r="AE32" s="112"/>
      <c r="AF32" s="112"/>
      <c r="AG32" s="112"/>
      <c r="AH32" s="112"/>
      <c r="AI32" s="112"/>
      <c r="AJ32" s="112"/>
      <c r="AK32" s="112"/>
      <c r="AL32" s="112"/>
      <c r="AM32" s="112"/>
      <c r="AN32" s="112"/>
      <c r="AP32" s="1">
        <f>IF(C32="MAP",IF(N32&gt;=30%,#REF!,#REF!*N32),0)</f>
        <v>0</v>
      </c>
      <c r="AS32" s="3"/>
    </row>
    <row r="33" spans="1:49" s="259" customFormat="1" ht="72" customHeight="1" x14ac:dyDescent="0.2">
      <c r="A33" s="588" t="s">
        <v>291</v>
      </c>
      <c r="B33" s="589"/>
      <c r="C33" s="531" t="str">
        <f>IFERROR(INDEX($E$7:$E$10,MATCH(A33,$B$7:$B$10,0)),"N.A.")</f>
        <v>NO LIDER</v>
      </c>
      <c r="D33" s="532"/>
      <c r="E33" s="531">
        <v>1</v>
      </c>
      <c r="F33" s="532"/>
      <c r="G33" s="815" t="s">
        <v>262</v>
      </c>
      <c r="H33" s="816"/>
      <c r="I33" s="816"/>
      <c r="J33" s="816"/>
      <c r="K33" s="817"/>
      <c r="L33" s="313" t="s">
        <v>263</v>
      </c>
      <c r="M33" s="252" t="s">
        <v>264</v>
      </c>
      <c r="N33" s="302">
        <v>38807</v>
      </c>
      <c r="O33" s="302">
        <v>39813</v>
      </c>
      <c r="P33" s="314">
        <v>1</v>
      </c>
      <c r="Q33" s="406">
        <v>18512.149244525463</v>
      </c>
      <c r="R33" s="288" t="s">
        <v>108</v>
      </c>
      <c r="S33" s="557"/>
      <c r="T33" s="181" t="s">
        <v>368</v>
      </c>
      <c r="U33" s="565"/>
      <c r="V33" s="566"/>
      <c r="W33" s="566"/>
      <c r="X33" s="566"/>
      <c r="Y33" s="566"/>
      <c r="Z33" s="566"/>
      <c r="AA33" s="567"/>
      <c r="AB33" s="258"/>
      <c r="AC33" s="258"/>
      <c r="AD33" s="258"/>
      <c r="AE33" s="258"/>
      <c r="AF33" s="258"/>
      <c r="AG33" s="258"/>
      <c r="AH33" s="258"/>
      <c r="AI33" s="258"/>
      <c r="AJ33" s="258"/>
      <c r="AK33" s="258"/>
      <c r="AL33" s="258"/>
      <c r="AM33" s="258"/>
      <c r="AN33" s="258"/>
      <c r="AP33" s="259">
        <f>IF(C33="MAP",IF(N33&gt;=30%,#REF!,#REF!*N33),0)</f>
        <v>0</v>
      </c>
      <c r="AS33" s="260"/>
    </row>
    <row r="34" spans="1:49" ht="81.75" customHeight="1" x14ac:dyDescent="0.2">
      <c r="A34" s="880" t="s">
        <v>292</v>
      </c>
      <c r="B34" s="881"/>
      <c r="C34" s="843" t="str">
        <f>IFERROR(INDEX($E$7:$E$10,MATCH(A34,$B$7:$B$10,0)),"N.A.")</f>
        <v>NO LIDER</v>
      </c>
      <c r="D34" s="844"/>
      <c r="E34" s="843">
        <v>2</v>
      </c>
      <c r="F34" s="844"/>
      <c r="G34" s="845" t="s">
        <v>369</v>
      </c>
      <c r="H34" s="846" t="s">
        <v>250</v>
      </c>
      <c r="I34" s="846" t="s">
        <v>250</v>
      </c>
      <c r="J34" s="846" t="s">
        <v>250</v>
      </c>
      <c r="K34" s="847" t="s">
        <v>250</v>
      </c>
      <c r="L34" s="393" t="s">
        <v>133</v>
      </c>
      <c r="M34" s="394" t="s">
        <v>370</v>
      </c>
      <c r="N34" s="395">
        <v>41089</v>
      </c>
      <c r="O34" s="395">
        <v>41305</v>
      </c>
      <c r="P34" s="367">
        <v>0.4</v>
      </c>
      <c r="Q34" s="396">
        <f>580438770/Hoja1!F31</f>
        <v>1024.2434621492853</v>
      </c>
      <c r="R34" s="407" t="s">
        <v>108</v>
      </c>
      <c r="S34" s="557"/>
      <c r="T34" s="368" t="s">
        <v>371</v>
      </c>
      <c r="U34" s="882" t="s">
        <v>372</v>
      </c>
      <c r="V34" s="883"/>
      <c r="W34" s="883"/>
      <c r="X34" s="883"/>
      <c r="Y34" s="883"/>
      <c r="Z34" s="883"/>
      <c r="AA34" s="884"/>
      <c r="AB34" s="112"/>
      <c r="AC34" s="112"/>
      <c r="AD34" s="112"/>
      <c r="AE34" s="112"/>
      <c r="AF34" s="112"/>
      <c r="AG34" s="112"/>
      <c r="AH34" s="112"/>
      <c r="AI34" s="112"/>
      <c r="AJ34" s="112"/>
      <c r="AK34" s="112"/>
      <c r="AL34" s="112"/>
      <c r="AM34" s="112"/>
      <c r="AN34" s="112"/>
      <c r="AP34" s="1">
        <f>IF(C34="MAP",IF(N34&gt;=30%,#REF!,#REF!*N34),0)</f>
        <v>0</v>
      </c>
      <c r="AS34" s="3"/>
    </row>
    <row r="35" spans="1:49" ht="120" customHeight="1" thickBot="1" x14ac:dyDescent="0.25">
      <c r="A35" s="901" t="s">
        <v>292</v>
      </c>
      <c r="B35" s="902"/>
      <c r="C35" s="899" t="str">
        <f>IFERROR(INDEX($E$7:$E$10,MATCH(A35,$B$7:$B$10,0)),"N.A.")</f>
        <v>NO LIDER</v>
      </c>
      <c r="D35" s="900"/>
      <c r="E35" s="899">
        <v>3</v>
      </c>
      <c r="F35" s="900"/>
      <c r="G35" s="894" t="s">
        <v>373</v>
      </c>
      <c r="H35" s="895" t="s">
        <v>251</v>
      </c>
      <c r="I35" s="895" t="s">
        <v>251</v>
      </c>
      <c r="J35" s="895" t="s">
        <v>251</v>
      </c>
      <c r="K35" s="896" t="s">
        <v>251</v>
      </c>
      <c r="L35" s="408" t="s">
        <v>133</v>
      </c>
      <c r="M35" s="475" t="s">
        <v>374</v>
      </c>
      <c r="N35" s="409">
        <v>40554</v>
      </c>
      <c r="O35" s="409">
        <v>40869</v>
      </c>
      <c r="P35" s="476">
        <v>0.5</v>
      </c>
      <c r="Q35" s="477">
        <f>143944287/Hoja1!F30</f>
        <v>268.75333644510829</v>
      </c>
      <c r="R35" s="478" t="s">
        <v>108</v>
      </c>
      <c r="S35" s="558"/>
      <c r="T35" s="387" t="s">
        <v>378</v>
      </c>
      <c r="U35" s="907" t="s">
        <v>372</v>
      </c>
      <c r="V35" s="908"/>
      <c r="W35" s="908"/>
      <c r="X35" s="908"/>
      <c r="Y35" s="908"/>
      <c r="Z35" s="908"/>
      <c r="AA35" s="909"/>
      <c r="AB35" s="112"/>
      <c r="AC35" s="112"/>
      <c r="AD35" s="112"/>
      <c r="AE35" s="112"/>
      <c r="AF35" s="112"/>
      <c r="AG35" s="112"/>
      <c r="AH35" s="112"/>
      <c r="AI35" s="112"/>
      <c r="AJ35" s="112"/>
      <c r="AK35" s="112"/>
      <c r="AL35" s="112"/>
      <c r="AM35" s="112"/>
      <c r="AN35" s="112"/>
      <c r="AP35" s="1">
        <f>IF(C35="MAP",IF(N35&gt;=30%,#REF!,#REF!*N35),0)</f>
        <v>0</v>
      </c>
      <c r="AS35" s="3"/>
    </row>
    <row r="36" spans="1:49" x14ac:dyDescent="0.2">
      <c r="Q36" s="300">
        <f>SUM(Q31:Q35)</f>
        <v>37586.930322531625</v>
      </c>
      <c r="R36" s="169" t="str">
        <f>IF(B8="","N. A.",IF((Q36&gt;='Calificación Técnica'!E14),"CUMPLE",IF((Q36&lt;'Calificación Técnica'!E14),"NO CUMPLE","N. A.")))</f>
        <v>CUMPLE</v>
      </c>
    </row>
    <row r="38" spans="1:49" ht="25.5" x14ac:dyDescent="0.2">
      <c r="A38" s="90" t="s">
        <v>145</v>
      </c>
      <c r="T38" s="1"/>
      <c r="U38" s="1"/>
      <c r="Y38" s="3"/>
      <c r="Z38" s="3"/>
      <c r="AM38" s="2"/>
      <c r="AN38" s="2"/>
      <c r="AO38" s="2"/>
      <c r="AP38" s="2"/>
      <c r="AQ38" s="2"/>
      <c r="AR38" s="2"/>
      <c r="AS38" s="2"/>
      <c r="AT38" s="2"/>
      <c r="AU38" s="2"/>
      <c r="AV38" s="2"/>
    </row>
    <row r="39" spans="1:49" ht="16.5" thickBot="1" x14ac:dyDescent="0.25">
      <c r="A39" s="74" t="s">
        <v>220</v>
      </c>
      <c r="T39" s="1"/>
      <c r="U39" s="1"/>
      <c r="V39" s="1"/>
      <c r="Y39" s="3"/>
      <c r="Z39" s="3"/>
      <c r="AA39" s="3"/>
      <c r="AM39" s="2"/>
      <c r="AN39" s="2"/>
      <c r="AO39" s="2"/>
      <c r="AP39" s="2"/>
      <c r="AQ39" s="2"/>
      <c r="AR39" s="2"/>
      <c r="AS39" s="2"/>
      <c r="AT39" s="2"/>
      <c r="AU39" s="2"/>
      <c r="AV39" s="2"/>
      <c r="AW39" s="2"/>
    </row>
    <row r="40" spans="1:49" ht="24" customHeight="1" x14ac:dyDescent="0.2">
      <c r="A40" s="592" t="s">
        <v>112</v>
      </c>
      <c r="B40" s="559"/>
      <c r="C40" s="559" t="s">
        <v>113</v>
      </c>
      <c r="D40" s="559"/>
      <c r="E40" s="559" t="s">
        <v>70</v>
      </c>
      <c r="F40" s="559"/>
      <c r="G40" s="562" t="s">
        <v>114</v>
      </c>
      <c r="H40" s="562"/>
      <c r="I40" s="562"/>
      <c r="J40" s="562"/>
      <c r="K40" s="562"/>
      <c r="L40" s="562"/>
      <c r="M40" s="562"/>
      <c r="N40" s="559" t="s">
        <v>115</v>
      </c>
      <c r="O40" s="559" t="s">
        <v>116</v>
      </c>
      <c r="P40" s="559" t="s">
        <v>117</v>
      </c>
      <c r="Q40" s="559" t="s">
        <v>118</v>
      </c>
      <c r="R40" s="559" t="s">
        <v>119</v>
      </c>
      <c r="S40" s="559" t="s">
        <v>139</v>
      </c>
      <c r="T40" s="554" t="s">
        <v>197</v>
      </c>
      <c r="U40" s="539" t="s">
        <v>195</v>
      </c>
      <c r="V40" s="540"/>
      <c r="W40" s="541"/>
      <c r="X40" s="720" t="s">
        <v>194</v>
      </c>
      <c r="Y40" s="720" t="s">
        <v>106</v>
      </c>
      <c r="Z40" s="533" t="s">
        <v>2</v>
      </c>
      <c r="AA40" s="533"/>
      <c r="AB40" s="533"/>
      <c r="AC40" s="533"/>
      <c r="AD40" s="533"/>
      <c r="AE40" s="533"/>
      <c r="AF40" s="533"/>
      <c r="AG40" s="533"/>
      <c r="AH40" s="533"/>
      <c r="AI40" s="534"/>
      <c r="AJ40" s="1"/>
      <c r="AK40" s="1"/>
      <c r="AL40" s="1"/>
    </row>
    <row r="41" spans="1:49" ht="30.75" customHeight="1" x14ac:dyDescent="0.2">
      <c r="A41" s="593"/>
      <c r="B41" s="560"/>
      <c r="C41" s="560"/>
      <c r="D41" s="560"/>
      <c r="E41" s="560"/>
      <c r="F41" s="560"/>
      <c r="G41" s="563"/>
      <c r="H41" s="563"/>
      <c r="I41" s="563"/>
      <c r="J41" s="563"/>
      <c r="K41" s="563"/>
      <c r="L41" s="563"/>
      <c r="M41" s="563"/>
      <c r="N41" s="560"/>
      <c r="O41" s="560"/>
      <c r="P41" s="560"/>
      <c r="Q41" s="560"/>
      <c r="R41" s="560"/>
      <c r="S41" s="560"/>
      <c r="T41" s="555"/>
      <c r="U41" s="542"/>
      <c r="V41" s="543"/>
      <c r="W41" s="544"/>
      <c r="X41" s="721"/>
      <c r="Y41" s="740"/>
      <c r="Z41" s="535"/>
      <c r="AA41" s="535"/>
      <c r="AB41" s="535"/>
      <c r="AC41" s="535"/>
      <c r="AD41" s="535"/>
      <c r="AE41" s="535"/>
      <c r="AF41" s="535"/>
      <c r="AG41" s="535"/>
      <c r="AH41" s="535"/>
      <c r="AI41" s="536"/>
      <c r="AJ41" s="1"/>
      <c r="AK41" s="1"/>
      <c r="AL41" s="1"/>
    </row>
    <row r="42" spans="1:49" ht="133.5" customHeight="1" thickBot="1" x14ac:dyDescent="0.25">
      <c r="A42" s="594"/>
      <c r="B42" s="561"/>
      <c r="C42" s="561"/>
      <c r="D42" s="561"/>
      <c r="E42" s="561"/>
      <c r="F42" s="561"/>
      <c r="G42" s="564"/>
      <c r="H42" s="564"/>
      <c r="I42" s="564"/>
      <c r="J42" s="564"/>
      <c r="K42" s="564"/>
      <c r="L42" s="564"/>
      <c r="M42" s="564"/>
      <c r="N42" s="561"/>
      <c r="O42" s="561"/>
      <c r="P42" s="561"/>
      <c r="Q42" s="561"/>
      <c r="R42" s="561"/>
      <c r="S42" s="561"/>
      <c r="T42" s="278" t="s">
        <v>218</v>
      </c>
      <c r="U42" s="545"/>
      <c r="V42" s="546"/>
      <c r="W42" s="547"/>
      <c r="X42" s="278" t="s">
        <v>215</v>
      </c>
      <c r="Y42" s="783"/>
      <c r="Z42" s="537"/>
      <c r="AA42" s="537"/>
      <c r="AB42" s="537"/>
      <c r="AC42" s="537"/>
      <c r="AD42" s="537"/>
      <c r="AE42" s="537"/>
      <c r="AF42" s="537"/>
      <c r="AG42" s="537"/>
      <c r="AH42" s="537"/>
      <c r="AI42" s="538"/>
      <c r="AJ42" s="1"/>
      <c r="AK42" s="1"/>
      <c r="AL42" s="1"/>
    </row>
    <row r="43" spans="1:49" ht="57" customHeight="1" x14ac:dyDescent="0.2">
      <c r="A43" s="910" t="s">
        <v>160</v>
      </c>
      <c r="B43" s="911"/>
      <c r="C43" s="788" t="s">
        <v>265</v>
      </c>
      <c r="D43" s="788"/>
      <c r="E43" s="760">
        <v>1</v>
      </c>
      <c r="F43" s="761"/>
      <c r="G43" s="827" t="s">
        <v>266</v>
      </c>
      <c r="H43" s="827"/>
      <c r="I43" s="827"/>
      <c r="J43" s="827"/>
      <c r="K43" s="827"/>
      <c r="L43" s="827"/>
      <c r="M43" s="827"/>
      <c r="N43" s="233" t="str">
        <f>M33</f>
        <v xml:space="preserve">SECRETARIA DE COMUNICACIONES Y TRANSPORTES DE INSFRAESTRUCTURA </v>
      </c>
      <c r="O43" s="179">
        <f>P33</f>
        <v>1</v>
      </c>
      <c r="P43" s="180">
        <f>N33</f>
        <v>38807</v>
      </c>
      <c r="Q43" s="180">
        <f>O33</f>
        <v>39813</v>
      </c>
      <c r="R43" s="171">
        <f>(36073007.08/10.8935)*2289.98/Hoja1!F25</f>
        <v>18586.021515136836</v>
      </c>
      <c r="S43" s="172">
        <v>105</v>
      </c>
      <c r="T43" s="431" t="str">
        <f>IF((R43)&gt;='Calificación Técnica'!$E$24,"CUMPLE","NO CUMPLE")</f>
        <v>CUMPLE</v>
      </c>
      <c r="U43" s="912" t="s">
        <v>76</v>
      </c>
      <c r="V43" s="913"/>
      <c r="W43" s="914"/>
      <c r="X43" s="768" t="str">
        <f>IF(($S$47)&gt;='Calificación Técnica'!C26,"CUMPLE","NO CUMPLE")</f>
        <v>CUMPLE</v>
      </c>
      <c r="Y43" s="289" t="s">
        <v>259</v>
      </c>
      <c r="Z43" s="874"/>
      <c r="AA43" s="875"/>
      <c r="AB43" s="875"/>
      <c r="AC43" s="875"/>
      <c r="AD43" s="875"/>
      <c r="AE43" s="875"/>
      <c r="AF43" s="875"/>
      <c r="AG43" s="875"/>
      <c r="AH43" s="875"/>
      <c r="AI43" s="876"/>
      <c r="AJ43" s="1"/>
      <c r="AK43" s="1"/>
      <c r="AL43" s="1"/>
    </row>
    <row r="44" spans="1:49" ht="36.75" customHeight="1" x14ac:dyDescent="0.2">
      <c r="A44" s="905" t="s">
        <v>160</v>
      </c>
      <c r="B44" s="906"/>
      <c r="C44" s="743" t="s">
        <v>265</v>
      </c>
      <c r="D44" s="743"/>
      <c r="E44" s="743">
        <v>2</v>
      </c>
      <c r="F44" s="743"/>
      <c r="G44" s="744" t="s">
        <v>267</v>
      </c>
      <c r="H44" s="744"/>
      <c r="I44" s="744"/>
      <c r="J44" s="744"/>
      <c r="K44" s="744"/>
      <c r="L44" s="744"/>
      <c r="M44" s="744"/>
      <c r="N44" s="203" t="s">
        <v>268</v>
      </c>
      <c r="O44" s="183">
        <v>1</v>
      </c>
      <c r="P44" s="184">
        <v>37681</v>
      </c>
      <c r="Q44" s="184">
        <v>40543</v>
      </c>
      <c r="R44" s="151">
        <f>+(12123578.43/11.0324)*2957.87/Hoja1!F22</f>
        <v>9790.4313305060532</v>
      </c>
      <c r="S44" s="151">
        <v>507</v>
      </c>
      <c r="T44" s="160" t="str">
        <f>IF((R44)&gt;='Calificación Técnica'!$E$24,"CUMPLE","NO CUMPLE")</f>
        <v>CUMPLE</v>
      </c>
      <c r="U44" s="764" t="s">
        <v>76</v>
      </c>
      <c r="V44" s="765"/>
      <c r="W44" s="766"/>
      <c r="X44" s="768"/>
      <c r="Y44" s="209" t="s">
        <v>376</v>
      </c>
      <c r="Z44" s="874"/>
      <c r="AA44" s="875"/>
      <c r="AB44" s="875"/>
      <c r="AC44" s="875"/>
      <c r="AD44" s="875"/>
      <c r="AE44" s="875"/>
      <c r="AF44" s="875"/>
      <c r="AG44" s="875"/>
      <c r="AH44" s="875"/>
      <c r="AI44" s="876"/>
      <c r="AJ44" s="1"/>
      <c r="AK44" s="1"/>
      <c r="AL44" s="1"/>
    </row>
    <row r="45" spans="1:49" ht="53.25" customHeight="1" x14ac:dyDescent="0.2">
      <c r="A45" s="905" t="s">
        <v>160</v>
      </c>
      <c r="B45" s="906"/>
      <c r="C45" s="743" t="s">
        <v>265</v>
      </c>
      <c r="D45" s="743"/>
      <c r="E45" s="743">
        <v>3</v>
      </c>
      <c r="F45" s="743"/>
      <c r="G45" s="744" t="s">
        <v>269</v>
      </c>
      <c r="H45" s="744"/>
      <c r="I45" s="744"/>
      <c r="J45" s="744"/>
      <c r="K45" s="744"/>
      <c r="L45" s="744"/>
      <c r="M45" s="744"/>
      <c r="N45" s="203" t="s">
        <v>136</v>
      </c>
      <c r="O45" s="183">
        <v>0.75</v>
      </c>
      <c r="P45" s="185">
        <v>37790</v>
      </c>
      <c r="Q45" s="185">
        <v>38612</v>
      </c>
      <c r="R45" s="163">
        <f>2363195725/Hoja1!F22</f>
        <v>7118.0594126506021</v>
      </c>
      <c r="S45" s="163">
        <f>93.45+42.1+2.3</f>
        <v>137.85000000000002</v>
      </c>
      <c r="T45" s="160" t="str">
        <f>IF((R45)&gt;='Calificación Técnica'!$E$24,"CUMPLE","NO CUMPLE")</f>
        <v>CUMPLE</v>
      </c>
      <c r="U45" s="764" t="s">
        <v>76</v>
      </c>
      <c r="V45" s="765"/>
      <c r="W45" s="766"/>
      <c r="X45" s="768"/>
      <c r="Y45" s="209" t="s">
        <v>375</v>
      </c>
      <c r="Z45" s="874"/>
      <c r="AA45" s="875"/>
      <c r="AB45" s="875"/>
      <c r="AC45" s="875"/>
      <c r="AD45" s="875"/>
      <c r="AE45" s="875"/>
      <c r="AF45" s="875"/>
      <c r="AG45" s="875"/>
      <c r="AH45" s="875"/>
      <c r="AI45" s="876"/>
      <c r="AJ45" s="1"/>
      <c r="AK45" s="1"/>
      <c r="AL45" s="1"/>
    </row>
    <row r="46" spans="1:49" ht="40.5" customHeight="1" thickBot="1" x14ac:dyDescent="0.25">
      <c r="A46" s="903" t="s">
        <v>160</v>
      </c>
      <c r="B46" s="904"/>
      <c r="C46" s="771" t="s">
        <v>265</v>
      </c>
      <c r="D46" s="771"/>
      <c r="E46" s="771">
        <v>4</v>
      </c>
      <c r="F46" s="771"/>
      <c r="G46" s="772" t="s">
        <v>270</v>
      </c>
      <c r="H46" s="772"/>
      <c r="I46" s="772"/>
      <c r="J46" s="772"/>
      <c r="K46" s="772"/>
      <c r="L46" s="772"/>
      <c r="M46" s="772"/>
      <c r="N46" s="204" t="s">
        <v>271</v>
      </c>
      <c r="O46" s="205">
        <v>1</v>
      </c>
      <c r="P46" s="187">
        <v>39692</v>
      </c>
      <c r="Q46" s="187">
        <v>40724</v>
      </c>
      <c r="R46" s="152">
        <f>+(38398960/10.3423)*1932.2/Hoja1!F27</f>
        <v>15544.712824963577</v>
      </c>
      <c r="S46" s="163">
        <v>54.6</v>
      </c>
      <c r="T46" s="430" t="str">
        <f>IF((R46)&gt;='Calificación Técnica'!$E$24,"CUMPLE","NO CUMPLE")</f>
        <v>CUMPLE</v>
      </c>
      <c r="U46" s="773" t="s">
        <v>76</v>
      </c>
      <c r="V46" s="774"/>
      <c r="W46" s="775"/>
      <c r="X46" s="769"/>
      <c r="Y46" s="210" t="s">
        <v>379</v>
      </c>
      <c r="Z46" s="877"/>
      <c r="AA46" s="878"/>
      <c r="AB46" s="878"/>
      <c r="AC46" s="878"/>
      <c r="AD46" s="878"/>
      <c r="AE46" s="878"/>
      <c r="AF46" s="878"/>
      <c r="AG46" s="878"/>
      <c r="AH46" s="878"/>
      <c r="AI46" s="879"/>
      <c r="AJ46" s="1"/>
      <c r="AK46" s="1"/>
      <c r="AL46" s="1"/>
    </row>
    <row r="47" spans="1:49" x14ac:dyDescent="0.2">
      <c r="S47" s="166">
        <f>SUM(S43:S46)</f>
        <v>804.45</v>
      </c>
      <c r="T47" s="169" t="s">
        <v>76</v>
      </c>
      <c r="U47" s="2"/>
      <c r="V47" s="2"/>
      <c r="W47" s="2"/>
      <c r="X47" s="2"/>
      <c r="AE47" s="1"/>
      <c r="AF47" s="1"/>
      <c r="AG47" s="1"/>
      <c r="AH47" s="1"/>
      <c r="AI47" s="1"/>
      <c r="AJ47" s="1"/>
      <c r="AK47" s="1"/>
      <c r="AL47" s="1"/>
    </row>
    <row r="48" spans="1:49" x14ac:dyDescent="0.2">
      <c r="S48" s="157"/>
    </row>
  </sheetData>
  <sheetProtection formatColumns="0" formatRows="0"/>
  <mergeCells count="146">
    <mergeCell ref="X43:X46"/>
    <mergeCell ref="C44:D44"/>
    <mergeCell ref="G45:M45"/>
    <mergeCell ref="U45:W45"/>
    <mergeCell ref="C46:D46"/>
    <mergeCell ref="E45:F45"/>
    <mergeCell ref="Q40:Q42"/>
    <mergeCell ref="R40:R42"/>
    <mergeCell ref="S40:S42"/>
    <mergeCell ref="U40:W42"/>
    <mergeCell ref="P40:P42"/>
    <mergeCell ref="T40:T41"/>
    <mergeCell ref="E46:F46"/>
    <mergeCell ref="G46:M46"/>
    <mergeCell ref="U46:W46"/>
    <mergeCell ref="C45:D45"/>
    <mergeCell ref="N40:N42"/>
    <mergeCell ref="O40:O42"/>
    <mergeCell ref="A35:B35"/>
    <mergeCell ref="C35:D35"/>
    <mergeCell ref="A46:B46"/>
    <mergeCell ref="A44:B44"/>
    <mergeCell ref="E44:F44"/>
    <mergeCell ref="G44:M44"/>
    <mergeCell ref="U44:W44"/>
    <mergeCell ref="Z43:AI46"/>
    <mergeCell ref="E35:F35"/>
    <mergeCell ref="G35:K35"/>
    <mergeCell ref="U35:AA35"/>
    <mergeCell ref="A40:B42"/>
    <mergeCell ref="C40:D42"/>
    <mergeCell ref="E40:F42"/>
    <mergeCell ref="G40:M42"/>
    <mergeCell ref="A45:B45"/>
    <mergeCell ref="Z40:AI42"/>
    <mergeCell ref="A43:B43"/>
    <mergeCell ref="C43:D43"/>
    <mergeCell ref="E43:F43"/>
    <mergeCell ref="G43:M43"/>
    <mergeCell ref="U43:W43"/>
    <mergeCell ref="Y40:Y42"/>
    <mergeCell ref="X40:X41"/>
    <mergeCell ref="R23:Y23"/>
    <mergeCell ref="G30:K30"/>
    <mergeCell ref="U30:AA30"/>
    <mergeCell ref="U31:AA31"/>
    <mergeCell ref="A32:B32"/>
    <mergeCell ref="C32:D32"/>
    <mergeCell ref="E32:F32"/>
    <mergeCell ref="G32:K32"/>
    <mergeCell ref="R26:Y26"/>
    <mergeCell ref="U32:AA32"/>
    <mergeCell ref="A31:B31"/>
    <mergeCell ref="C31:D31"/>
    <mergeCell ref="E31:F31"/>
    <mergeCell ref="G26:K26"/>
    <mergeCell ref="G25:K25"/>
    <mergeCell ref="G31:K31"/>
    <mergeCell ref="S31:S35"/>
    <mergeCell ref="P24:P26"/>
    <mergeCell ref="R24:Y24"/>
    <mergeCell ref="A26:B26"/>
    <mergeCell ref="C26:D26"/>
    <mergeCell ref="E26:F26"/>
    <mergeCell ref="A25:B25"/>
    <mergeCell ref="C25:D25"/>
    <mergeCell ref="A34:B34"/>
    <mergeCell ref="C34:D34"/>
    <mergeCell ref="E34:F34"/>
    <mergeCell ref="G34:K34"/>
    <mergeCell ref="U34:AA34"/>
    <mergeCell ref="A24:B24"/>
    <mergeCell ref="C24:D24"/>
    <mergeCell ref="E24:F24"/>
    <mergeCell ref="G24:K24"/>
    <mergeCell ref="E25:F25"/>
    <mergeCell ref="A33:B33"/>
    <mergeCell ref="C33:D33"/>
    <mergeCell ref="E33:F33"/>
    <mergeCell ref="G33:K33"/>
    <mergeCell ref="U33:AA33"/>
    <mergeCell ref="A30:B30"/>
    <mergeCell ref="C30:D30"/>
    <mergeCell ref="E30:F30"/>
    <mergeCell ref="L18:Q18"/>
    <mergeCell ref="C19:D19"/>
    <mergeCell ref="E19:F19"/>
    <mergeCell ref="G19:H19"/>
    <mergeCell ref="L19:Q19"/>
    <mergeCell ref="C20:D20"/>
    <mergeCell ref="E20:F20"/>
    <mergeCell ref="G20:H20"/>
    <mergeCell ref="L20:Q20"/>
    <mergeCell ref="A23:B23"/>
    <mergeCell ref="C23:D23"/>
    <mergeCell ref="E23:F23"/>
    <mergeCell ref="G23:K23"/>
    <mergeCell ref="C17:D17"/>
    <mergeCell ref="E17:F17"/>
    <mergeCell ref="G17:H17"/>
    <mergeCell ref="C18:D18"/>
    <mergeCell ref="E18:F18"/>
    <mergeCell ref="G18:H18"/>
    <mergeCell ref="L17:Q17"/>
    <mergeCell ref="L14:Q15"/>
    <mergeCell ref="C16:D16"/>
    <mergeCell ref="E16:F16"/>
    <mergeCell ref="L16:Q16"/>
    <mergeCell ref="A14:A15"/>
    <mergeCell ref="B14:B15"/>
    <mergeCell ref="C14:F15"/>
    <mergeCell ref="G14:H15"/>
    <mergeCell ref="I14:J14"/>
    <mergeCell ref="K14:K15"/>
    <mergeCell ref="C9:D9"/>
    <mergeCell ref="E9:F9"/>
    <mergeCell ref="G9:H9"/>
    <mergeCell ref="I9:J9"/>
    <mergeCell ref="P9:U9"/>
    <mergeCell ref="C10:D10"/>
    <mergeCell ref="E10:F10"/>
    <mergeCell ref="G10:H10"/>
    <mergeCell ref="I10:J10"/>
    <mergeCell ref="P10:U10"/>
    <mergeCell ref="C7:D7"/>
    <mergeCell ref="E7:F7"/>
    <mergeCell ref="G7:H7"/>
    <mergeCell ref="I7:J7"/>
    <mergeCell ref="P7:U7"/>
    <mergeCell ref="C8:D8"/>
    <mergeCell ref="E8:F8"/>
    <mergeCell ref="G8:H8"/>
    <mergeCell ref="I8:J8"/>
    <mergeCell ref="P8:U8"/>
    <mergeCell ref="P4:U5"/>
    <mergeCell ref="A4:A5"/>
    <mergeCell ref="B4:B5"/>
    <mergeCell ref="C4:F5"/>
    <mergeCell ref="G4:H5"/>
    <mergeCell ref="I4:N4"/>
    <mergeCell ref="O4:O5"/>
    <mergeCell ref="I5:J5"/>
    <mergeCell ref="C6:D6"/>
    <mergeCell ref="E6:F6"/>
    <mergeCell ref="G6:M6"/>
    <mergeCell ref="P6:U6"/>
  </mergeCells>
  <conditionalFormatting sqref="P24:P26 J16 N6 S31:S32">
    <cfRule type="cellIs" dxfId="10" priority="11" stopIfTrue="1" operator="equal">
      <formula>"NO HABIL"</formula>
    </cfRule>
  </conditionalFormatting>
  <conditionalFormatting sqref="T43:T46">
    <cfRule type="cellIs" dxfId="9" priority="4" stopIfTrue="1" operator="equal">
      <formula>"NO HABIL"</formula>
    </cfRule>
  </conditionalFormatting>
  <dataValidations count="4">
    <dataValidation type="list" allowBlank="1" showInputMessage="1" showErrorMessage="1" sqref="A43:B46">
      <formula1>$B$7:$B$8</formula1>
    </dataValidation>
    <dataValidation type="list" allowBlank="1" showInputMessage="1" showErrorMessage="1" sqref="B24 A24:A26 A31:B35">
      <formula1>$B$7:$B$9</formula1>
    </dataValidation>
    <dataValidation type="list" allowBlank="1" showInputMessage="1" showErrorMessage="1" sqref="G7:H11">
      <formula1>$AM$7:$AM$8</formula1>
    </dataValidation>
    <dataValidation type="list" allowBlank="1" showInputMessage="1" showErrorMessage="1" sqref="K7:L11 M10:M11">
      <formula1>$AN$7:$AN$8</formula1>
    </dataValidation>
  </dataValidations>
  <printOptions horizontalCentered="1" verticalCentered="1"/>
  <pageMargins left="0.23622047244094491" right="0.23622047244094491" top="0.78740157480314965" bottom="0.35433070866141736" header="0.51181102362204722" footer="0.51181102362204722"/>
  <pageSetup paperSize="5" scale="41" orientation="landscape" r:id="rId1"/>
  <headerFooter alignWithMargins="0"/>
  <rowBreaks count="1" manualBreakCount="1">
    <brk id="27" max="2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8"/>
  <sheetViews>
    <sheetView workbookViewId="0">
      <selection activeCell="D8" sqref="D8"/>
    </sheetView>
  </sheetViews>
  <sheetFormatPr baseColWidth="10" defaultRowHeight="12.75" x14ac:dyDescent="0.2"/>
  <cols>
    <col min="2" max="2" width="14.7109375" customWidth="1"/>
    <col min="4" max="4" width="18.7109375" customWidth="1"/>
  </cols>
  <sheetData>
    <row r="1" spans="1:4" ht="13.5" thickBot="1" x14ac:dyDescent="0.25"/>
    <row r="2" spans="1:4" x14ac:dyDescent="0.2">
      <c r="A2" s="837" t="s">
        <v>140</v>
      </c>
      <c r="B2" s="838"/>
      <c r="C2" s="838"/>
      <c r="D2" s="839"/>
    </row>
    <row r="3" spans="1:4" ht="63.75" x14ac:dyDescent="0.2">
      <c r="A3" s="161" t="s">
        <v>141</v>
      </c>
      <c r="B3" s="159" t="s">
        <v>149</v>
      </c>
      <c r="C3" s="159" t="s">
        <v>142</v>
      </c>
      <c r="D3" s="306" t="str">
        <f>'P7'!B6</f>
        <v>CONSORCIO NORTE DE COLOMBIA</v>
      </c>
    </row>
    <row r="4" spans="1:4" ht="25.5" customHeight="1" x14ac:dyDescent="0.2">
      <c r="A4" s="834" t="s">
        <v>143</v>
      </c>
      <c r="B4" s="728">
        <v>100</v>
      </c>
      <c r="C4" s="158">
        <v>1</v>
      </c>
      <c r="D4" s="868" t="s">
        <v>465</v>
      </c>
    </row>
    <row r="5" spans="1:4" ht="25.5" customHeight="1" x14ac:dyDescent="0.2">
      <c r="A5" s="835"/>
      <c r="B5" s="728"/>
      <c r="C5" s="158">
        <v>2</v>
      </c>
      <c r="D5" s="869"/>
    </row>
    <row r="6" spans="1:4" ht="25.5" customHeight="1" x14ac:dyDescent="0.2">
      <c r="A6" s="835"/>
      <c r="B6" s="728"/>
      <c r="C6" s="158">
        <v>3</v>
      </c>
      <c r="D6" s="869"/>
    </row>
    <row r="7" spans="1:4" ht="25.5" customHeight="1" x14ac:dyDescent="0.2">
      <c r="A7" s="836"/>
      <c r="B7" s="728"/>
      <c r="C7" s="158">
        <v>4</v>
      </c>
      <c r="D7" s="870"/>
    </row>
    <row r="8" spans="1:4" ht="13.5" thickBot="1" x14ac:dyDescent="0.25">
      <c r="A8" s="725" t="s">
        <v>144</v>
      </c>
      <c r="B8" s="726"/>
      <c r="C8" s="726"/>
      <c r="D8" s="307" t="s">
        <v>455</v>
      </c>
    </row>
  </sheetData>
  <mergeCells count="5">
    <mergeCell ref="A8:C8"/>
    <mergeCell ref="A2:D2"/>
    <mergeCell ref="A4:A7"/>
    <mergeCell ref="B4:B7"/>
    <mergeCell ref="D4:D7"/>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W47"/>
  <sheetViews>
    <sheetView view="pageBreakPreview" zoomScale="40" zoomScaleNormal="80" zoomScaleSheetLayoutView="40" workbookViewId="0">
      <selection activeCell="B7" sqref="B7"/>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7.14062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21.140625" style="1" customWidth="1"/>
    <col min="13" max="13" width="25.140625" style="1" bestFit="1" customWidth="1"/>
    <col min="14" max="14" width="21.140625" style="1" customWidth="1"/>
    <col min="15" max="15" width="15.42578125" style="1" customWidth="1"/>
    <col min="16" max="16" width="18.7109375" style="1" customWidth="1"/>
    <col min="17" max="17" width="15.42578125" style="1" customWidth="1"/>
    <col min="18" max="19" width="17.28515625" style="1" customWidth="1"/>
    <col min="20" max="20" width="21.5703125" style="3" customWidth="1"/>
    <col min="21" max="21" width="20.28515625" style="3" customWidth="1"/>
    <col min="22" max="22" width="12.42578125" style="3" customWidth="1"/>
    <col min="23" max="23" width="9" style="3" customWidth="1"/>
    <col min="24" max="24" width="13" style="3" customWidth="1"/>
    <col min="25" max="25" width="20.5703125" style="2" customWidth="1"/>
    <col min="26" max="26" width="20.140625" style="2" customWidth="1"/>
    <col min="27" max="30" width="14.85546875" style="2" customWidth="1"/>
    <col min="31" max="31" width="12.42578125" style="2" bestFit="1" customWidth="1"/>
    <col min="32" max="32" width="17.42578125" style="2" customWidth="1"/>
    <col min="33" max="33" width="19" style="2" customWidth="1"/>
    <col min="34" max="34" width="16.85546875" style="2" customWidth="1"/>
    <col min="35" max="35" width="17.28515625" style="2" customWidth="1"/>
    <col min="36" max="36" width="17" style="2" customWidth="1"/>
    <col min="37" max="37" width="17.28515625" style="2" customWidth="1"/>
    <col min="38" max="38" width="16.7109375" style="2" customWidth="1"/>
    <col min="39" max="39" width="16.85546875" style="1" customWidth="1"/>
    <col min="40" max="40" width="16.5703125" style="1" customWidth="1"/>
    <col min="41" max="42" width="16.42578125" style="1" customWidth="1"/>
    <col min="43" max="43" width="5" style="1" bestFit="1" customWidth="1"/>
    <col min="44" max="44" width="2.28515625" style="1" bestFit="1" customWidth="1"/>
    <col min="45" max="45" width="5" style="1" bestFit="1" customWidth="1"/>
    <col min="46" max="46" width="5.5703125" style="1" bestFit="1" customWidth="1"/>
    <col min="47" max="47" width="6.5703125" style="1" bestFit="1" customWidth="1"/>
    <col min="48" max="48" width="2.42578125" style="1" bestFit="1" customWidth="1"/>
    <col min="49" max="49" width="8.7109375" style="1" bestFit="1" customWidth="1"/>
    <col min="50" max="50" width="11.42578125" style="1" bestFit="1" customWidth="1"/>
    <col min="51" max="16384" width="11.5703125" style="1"/>
  </cols>
  <sheetData>
    <row r="1" spans="1:49" ht="21" customHeight="1" x14ac:dyDescent="0.2">
      <c r="A1" s="90" t="s">
        <v>146</v>
      </c>
    </row>
    <row r="2" spans="1:49" ht="8.25" customHeight="1" x14ac:dyDescent="0.2"/>
    <row r="3" spans="1:49"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c r="AH3" s="79"/>
      <c r="AI3" s="79"/>
      <c r="AJ3" s="79"/>
      <c r="AK3" s="79"/>
      <c r="AL3" s="79"/>
    </row>
    <row r="4" spans="1:49"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c r="AC4" s="85"/>
      <c r="AD4" s="85"/>
      <c r="AE4" s="85"/>
      <c r="AF4" s="85"/>
      <c r="AG4" s="153"/>
      <c r="AH4" s="85"/>
      <c r="AI4" s="85"/>
      <c r="AJ4" s="85"/>
      <c r="AK4" s="85"/>
      <c r="AL4" s="85"/>
    </row>
    <row r="5" spans="1:49" ht="120" customHeight="1" x14ac:dyDescent="0.2">
      <c r="A5" s="677" t="s">
        <v>1</v>
      </c>
      <c r="B5" s="679"/>
      <c r="C5" s="683"/>
      <c r="D5" s="684"/>
      <c r="E5" s="684"/>
      <c r="F5" s="685"/>
      <c r="G5" s="683"/>
      <c r="H5" s="685"/>
      <c r="I5" s="697" t="s">
        <v>124</v>
      </c>
      <c r="J5" s="698"/>
      <c r="K5" s="322" t="s">
        <v>109</v>
      </c>
      <c r="L5" s="322" t="s">
        <v>162</v>
      </c>
      <c r="M5" s="322" t="s">
        <v>148</v>
      </c>
      <c r="N5" s="322" t="s">
        <v>67</v>
      </c>
      <c r="O5" s="690"/>
      <c r="P5" s="694"/>
      <c r="Q5" s="695"/>
      <c r="R5" s="695"/>
      <c r="S5" s="695"/>
      <c r="T5" s="695"/>
      <c r="U5" s="696"/>
      <c r="V5" s="82"/>
      <c r="W5" s="82"/>
      <c r="X5" s="82"/>
      <c r="Y5" s="86"/>
      <c r="Z5" s="86"/>
      <c r="AA5" s="86"/>
      <c r="AB5" s="85"/>
      <c r="AC5" s="139"/>
      <c r="AD5" s="139"/>
      <c r="AE5" s="141"/>
      <c r="AF5" s="141"/>
      <c r="AG5" s="154"/>
      <c r="AH5" s="86"/>
      <c r="AI5" s="86"/>
      <c r="AJ5" s="86"/>
      <c r="AK5" s="86"/>
      <c r="AL5" s="1"/>
    </row>
    <row r="6" spans="1:49" ht="27" customHeight="1" thickBot="1" x14ac:dyDescent="0.25">
      <c r="A6" s="236">
        <v>8</v>
      </c>
      <c r="B6" s="103" t="str">
        <f>INDEX(PROPONENTES!B1:B9,MATCH(A6,PROPONENTES!A1:A9,0))</f>
        <v>CONSORCIO VIAL NS</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c r="AC6" s="139"/>
      <c r="AD6" s="140"/>
      <c r="AE6" s="141"/>
      <c r="AF6" s="141"/>
      <c r="AG6" s="154"/>
      <c r="AH6" s="80"/>
      <c r="AI6" s="80"/>
      <c r="AJ6" s="80"/>
      <c r="AK6" s="80"/>
      <c r="AL6" s="1"/>
    </row>
    <row r="7" spans="1:49" ht="30.75" customHeight="1" thickTop="1" x14ac:dyDescent="0.2">
      <c r="A7" s="105" t="str">
        <f>CONCATENATE($A$6,"A")</f>
        <v>8A</v>
      </c>
      <c r="B7" s="106" t="str">
        <f>IFERROR(INDEX(PROPONENTES!$F$1:$F$26,MATCH(A7,PROPONENTES!$E$1:$E$26,0)),"")</f>
        <v>JORGE PIDDO  SUCURSAL COLOMBIA</v>
      </c>
      <c r="C7" s="707">
        <f>IFERROR(INDEX(PROPONENTES!$H$1:$H$26,MATCH(A7,PROPONENTES!$E$1:$E$26,0)),"")</f>
        <v>0.6</v>
      </c>
      <c r="D7" s="707"/>
      <c r="E7" s="638" t="str">
        <f>IF(B7="","N. A.",IF(C7&lt;=40%,"NO LIDER","LIDER"))</f>
        <v>LIDER</v>
      </c>
      <c r="F7" s="638"/>
      <c r="G7" s="670" t="s">
        <v>77</v>
      </c>
      <c r="H7" s="670"/>
      <c r="I7" s="638" t="str">
        <f>IF(B7="","N.A.",IF(OR(G7="E"),"APLICA FORMATO 1","APLICA RUP"))</f>
        <v>APLICA RUP</v>
      </c>
      <c r="J7" s="638"/>
      <c r="K7" s="227" t="s">
        <v>78</v>
      </c>
      <c r="L7" s="227" t="s">
        <v>78</v>
      </c>
      <c r="M7" s="88" t="s">
        <v>108</v>
      </c>
      <c r="N7" s="97" t="str">
        <f>IF(B7="","N. A.",IF(AND(K7="SI",L7="SI",M7="N.A."),"HABIL","NO HABIL"))</f>
        <v>HABIL</v>
      </c>
      <c r="O7" s="229">
        <v>37</v>
      </c>
      <c r="P7" s="666">
        <v>7110</v>
      </c>
      <c r="Q7" s="667"/>
      <c r="R7" s="667"/>
      <c r="S7" s="667"/>
      <c r="T7" s="667"/>
      <c r="U7" s="668"/>
      <c r="V7" s="83"/>
      <c r="W7" s="83"/>
      <c r="X7" s="83"/>
      <c r="Y7" s="81"/>
      <c r="Z7" s="81"/>
      <c r="AA7" s="81"/>
      <c r="AB7" s="85"/>
      <c r="AC7" s="139"/>
      <c r="AD7" s="140"/>
      <c r="AE7" s="141"/>
      <c r="AF7" s="141"/>
      <c r="AG7" s="154"/>
      <c r="AH7" s="81"/>
      <c r="AI7" s="81"/>
      <c r="AJ7" s="81"/>
      <c r="AK7" s="81"/>
      <c r="AL7" s="1"/>
      <c r="AM7" s="88" t="s">
        <v>77</v>
      </c>
      <c r="AN7" s="88" t="s">
        <v>78</v>
      </c>
      <c r="AO7" s="88" t="e">
        <f>IF(#REF!="HABIL",1,0)</f>
        <v>#REF!</v>
      </c>
      <c r="AP7" s="89" t="e">
        <f>SUM(AO7:AO10)</f>
        <v>#REF!</v>
      </c>
      <c r="AQ7" s="88" t="e">
        <f>IF(#REF!="HABIL",1,0)</f>
        <v>#REF!</v>
      </c>
      <c r="AR7" s="89" t="e">
        <f>SUM(AQ7:AQ10)</f>
        <v>#REF!</v>
      </c>
      <c r="AS7" s="88">
        <f>IF(B7="",0,IF(G7="O",17420*C7,0))</f>
        <v>10452</v>
      </c>
      <c r="AT7" s="88">
        <f>SUM(AS7:AS10)</f>
        <v>17420</v>
      </c>
      <c r="AU7" s="88" t="s">
        <v>74</v>
      </c>
      <c r="AV7" s="88" t="s">
        <v>76</v>
      </c>
      <c r="AW7" s="88">
        <v>0</v>
      </c>
    </row>
    <row r="8" spans="1:49" ht="29.25" customHeight="1" x14ac:dyDescent="0.2">
      <c r="A8" s="107" t="str">
        <f>CONCATENATE($A$6,"B")</f>
        <v>8B</v>
      </c>
      <c r="B8" s="106" t="str">
        <f>IFERROR(INDEX(PROPONENTES!$F$1:$F$26,MATCH(A8,PROPONENTES!$E$1:$E$26,0)),"")</f>
        <v>INTERSA S.A.</v>
      </c>
      <c r="C8" s="707">
        <f>IFERROR(INDEX(PROPONENTES!$H$1:$H$26,MATCH(A8,PROPONENTES!$E$1:$E$26,0)),"")</f>
        <v>0.3</v>
      </c>
      <c r="D8" s="707"/>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45</v>
      </c>
      <c r="P8" s="666">
        <v>7110</v>
      </c>
      <c r="Q8" s="667"/>
      <c r="R8" s="667"/>
      <c r="S8" s="667"/>
      <c r="T8" s="667"/>
      <c r="U8" s="668"/>
      <c r="V8" s="83"/>
      <c r="W8" s="83"/>
      <c r="X8" s="83"/>
      <c r="Y8" s="81"/>
      <c r="Z8" s="81"/>
      <c r="AA8" s="81"/>
      <c r="AB8" s="85"/>
      <c r="AC8" s="139"/>
      <c r="AD8" s="140"/>
      <c r="AE8" s="141"/>
      <c r="AF8" s="141"/>
      <c r="AG8" s="154"/>
      <c r="AH8" s="81"/>
      <c r="AI8" s="81"/>
      <c r="AJ8" s="81"/>
      <c r="AK8" s="81"/>
      <c r="AL8" s="1"/>
      <c r="AM8" s="88" t="s">
        <v>79</v>
      </c>
      <c r="AN8" s="88" t="s">
        <v>111</v>
      </c>
      <c r="AO8" s="88" t="e">
        <f>IF(#REF!="HABIL",1,0)</f>
        <v>#REF!</v>
      </c>
      <c r="AP8" s="89"/>
      <c r="AQ8" s="88" t="e">
        <f>IF(#REF!="HABIL",1,0)</f>
        <v>#REF!</v>
      </c>
      <c r="AR8" s="88"/>
      <c r="AS8" s="88">
        <f>IF(B8="",0,IF(G8="O",17420*C8,0))</f>
        <v>5226</v>
      </c>
      <c r="AU8" s="88" t="s">
        <v>75</v>
      </c>
      <c r="AV8" s="88" t="s">
        <v>108</v>
      </c>
      <c r="AW8" s="88">
        <v>150</v>
      </c>
    </row>
    <row r="9" spans="1:49" ht="27.75" customHeight="1" x14ac:dyDescent="0.2">
      <c r="A9" s="107" t="str">
        <f>CONCATENATE($A$6,"C")</f>
        <v>8C</v>
      </c>
      <c r="B9" s="106" t="str">
        <f>IFERROR(INDEX(PROPONENTES!$F$1:$F$26,MATCH(A9,PROPONENTES!$E$1:$E$26,0)),"")</f>
        <v>SIGA INGENIERIA SAS</v>
      </c>
      <c r="C9" s="707">
        <f>IFERROR(INDEX(PROPONENTES!$H$1:$H$26,MATCH(A9,PROPONENTES!$E$1:$E$26,0)),"")</f>
        <v>0.1</v>
      </c>
      <c r="D9" s="707"/>
      <c r="E9" s="638" t="str">
        <f>IF(B9="","N. A.",IF(C9&lt;=40%,"NO LIDER","LIDER"))</f>
        <v>NO LIDER</v>
      </c>
      <c r="F9" s="638"/>
      <c r="G9" s="670" t="s">
        <v>77</v>
      </c>
      <c r="H9" s="670"/>
      <c r="I9" s="639" t="str">
        <f>IF(B9="","N.A.",IF(OR(G9="E"),"APLICA FORMATO 1","APLICA RUP"))</f>
        <v>APLICA RUP</v>
      </c>
      <c r="J9" s="639"/>
      <c r="K9" s="168" t="s">
        <v>78</v>
      </c>
      <c r="L9" s="168" t="s">
        <v>78</v>
      </c>
      <c r="M9" s="250" t="s">
        <v>108</v>
      </c>
      <c r="N9" s="48" t="str">
        <f>IF(B9="","N. A.",IF(AND(K9="SI",L9="SI",M9="N.A."),"HABIL","NO HABIL"))</f>
        <v>HABIL</v>
      </c>
      <c r="O9" s="230">
        <v>55</v>
      </c>
      <c r="P9" s="666">
        <v>7110</v>
      </c>
      <c r="Q9" s="667"/>
      <c r="R9" s="667"/>
      <c r="S9" s="667"/>
      <c r="T9" s="667"/>
      <c r="U9" s="668"/>
      <c r="V9" s="83"/>
      <c r="W9" s="83"/>
      <c r="X9" s="83"/>
      <c r="Y9" s="81"/>
      <c r="Z9" s="81"/>
      <c r="AA9" s="81"/>
      <c r="AB9" s="85"/>
      <c r="AC9" s="139"/>
      <c r="AD9" s="140"/>
      <c r="AE9" s="141"/>
      <c r="AF9" s="141"/>
      <c r="AG9" s="154"/>
      <c r="AH9" s="81"/>
      <c r="AI9" s="81"/>
      <c r="AJ9" s="81"/>
      <c r="AK9" s="81"/>
      <c r="AL9" s="1"/>
      <c r="AM9" s="88"/>
      <c r="AN9" s="88"/>
      <c r="AO9" s="88" t="e">
        <f>IF(#REF!="HABIL",1,0)</f>
        <v>#REF!</v>
      </c>
      <c r="AP9" s="89"/>
      <c r="AQ9" s="88" t="e">
        <f>IF(#REF!="HABIL",1,0)</f>
        <v>#REF!</v>
      </c>
      <c r="AR9" s="88"/>
      <c r="AS9" s="88">
        <f>IF(B9="",0,IF(G9="O",17420*C9,0))</f>
        <v>1742</v>
      </c>
      <c r="AW9" s="88" t="s">
        <v>120</v>
      </c>
    </row>
    <row r="10" spans="1:49" ht="29.25" customHeight="1" thickBot="1" x14ac:dyDescent="0.25">
      <c r="A10" s="109"/>
      <c r="B10" s="110" t="str">
        <f>IFERROR(INDEX(PROPONENTES!$F$1:$F$23,MATCH(A10,PROPONENTES!$E$1:$E$23,0)),"")</f>
        <v/>
      </c>
      <c r="C10" s="671" t="str">
        <f>IFERROR(INDEX(PROPONENTES!$H$1:$H$23,MATCH(A10,PROPONENTES!$E$1:$E$23,0)),"")</f>
        <v/>
      </c>
      <c r="D10" s="671"/>
      <c r="E10" s="628"/>
      <c r="F10" s="628"/>
      <c r="G10" s="672"/>
      <c r="H10" s="672"/>
      <c r="I10" s="628"/>
      <c r="J10" s="628"/>
      <c r="K10" s="228"/>
      <c r="L10" s="228"/>
      <c r="M10" s="228"/>
      <c r="N10" s="49"/>
      <c r="O10" s="178"/>
      <c r="P10" s="673"/>
      <c r="Q10" s="674"/>
      <c r="R10" s="674"/>
      <c r="S10" s="674"/>
      <c r="T10" s="674"/>
      <c r="U10" s="675"/>
      <c r="V10" s="83"/>
      <c r="W10" s="83"/>
      <c r="X10" s="83"/>
      <c r="Y10" s="81"/>
      <c r="Z10" s="81"/>
      <c r="AA10" s="81"/>
      <c r="AB10" s="85"/>
      <c r="AC10" s="139"/>
      <c r="AD10" s="140"/>
      <c r="AE10" s="141"/>
      <c r="AF10" s="141"/>
      <c r="AG10" s="154"/>
      <c r="AH10" s="81"/>
      <c r="AI10" s="81"/>
      <c r="AJ10" s="81"/>
      <c r="AK10" s="81"/>
      <c r="AL10" s="1"/>
      <c r="AM10" s="88"/>
      <c r="AN10" s="88"/>
      <c r="AO10" s="88" t="e">
        <f>IF(#REF!="HABIL",1,0)</f>
        <v>#REF!</v>
      </c>
      <c r="AP10" s="89"/>
      <c r="AQ10" s="88" t="e">
        <f>IF(#REF!="HABIL",1,0)</f>
        <v>#REF!</v>
      </c>
      <c r="AR10" s="88"/>
      <c r="AS10" s="88">
        <f>IF(B10="",0,IF(G10="O",17420*C10,0))</f>
        <v>0</v>
      </c>
    </row>
    <row r="11" spans="1:49" ht="29.25" customHeight="1" x14ac:dyDescent="0.2">
      <c r="A11" s="142"/>
      <c r="B11" s="143"/>
      <c r="C11" s="144"/>
      <c r="D11" s="144"/>
      <c r="E11" s="123"/>
      <c r="F11" s="123"/>
      <c r="G11" s="146"/>
      <c r="H11" s="146"/>
      <c r="I11" s="123"/>
      <c r="J11" s="123"/>
      <c r="K11" s="147"/>
      <c r="L11" s="147"/>
      <c r="M11" s="147"/>
      <c r="N11" s="123"/>
      <c r="O11" s="123"/>
      <c r="P11" s="145"/>
      <c r="Q11" s="145"/>
      <c r="R11" s="145"/>
      <c r="S11" s="145"/>
      <c r="T11" s="145"/>
      <c r="U11" s="145"/>
      <c r="V11" s="83"/>
      <c r="W11" s="83"/>
      <c r="X11" s="83"/>
      <c r="Y11" s="81"/>
      <c r="Z11" s="81"/>
      <c r="AA11" s="81"/>
      <c r="AB11" s="85"/>
      <c r="AC11" s="139"/>
      <c r="AD11" s="140"/>
      <c r="AE11" s="141"/>
      <c r="AF11" s="141"/>
      <c r="AG11" s="154"/>
      <c r="AH11" s="81"/>
      <c r="AI11" s="81"/>
      <c r="AJ11" s="81"/>
      <c r="AK11" s="81"/>
      <c r="AL11" s="1"/>
      <c r="AM11" s="88"/>
      <c r="AN11" s="88"/>
      <c r="AO11" s="88"/>
      <c r="AP11" s="89"/>
      <c r="AQ11" s="88"/>
      <c r="AR11" s="88"/>
      <c r="AS11" s="88"/>
    </row>
    <row r="12" spans="1:49" ht="32.25" customHeight="1" x14ac:dyDescent="0.2">
      <c r="AB12" s="85"/>
      <c r="AC12" s="139"/>
      <c r="AD12" s="139"/>
      <c r="AE12" s="141"/>
      <c r="AF12" s="141"/>
      <c r="AG12" s="154"/>
      <c r="AL12" s="1"/>
      <c r="AP12" s="3"/>
    </row>
    <row r="13" spans="1:49" ht="18" customHeight="1" thickBot="1" x14ac:dyDescent="0.25">
      <c r="A13" s="74" t="s">
        <v>125</v>
      </c>
      <c r="T13" s="1"/>
      <c r="Y13" s="3"/>
      <c r="AB13" s="85"/>
      <c r="AC13" s="139"/>
      <c r="AD13" s="139"/>
      <c r="AE13" s="141"/>
      <c r="AF13" s="141"/>
      <c r="AG13" s="154"/>
      <c r="AQ13" s="3"/>
    </row>
    <row r="14" spans="1:49"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c r="AC14" s="139"/>
      <c r="AD14" s="139"/>
      <c r="AE14" s="141"/>
      <c r="AF14" s="141"/>
      <c r="AG14" s="155"/>
      <c r="AQ14" s="3"/>
    </row>
    <row r="15" spans="1:49" ht="96.75" customHeight="1" x14ac:dyDescent="0.2">
      <c r="A15" s="654" t="s">
        <v>1</v>
      </c>
      <c r="B15" s="656"/>
      <c r="C15" s="660"/>
      <c r="D15" s="661"/>
      <c r="E15" s="661"/>
      <c r="F15" s="662"/>
      <c r="G15" s="660"/>
      <c r="H15" s="662"/>
      <c r="I15" s="47" t="s">
        <v>257</v>
      </c>
      <c r="J15" s="47" t="s">
        <v>161</v>
      </c>
      <c r="K15" s="665"/>
      <c r="L15" s="645"/>
      <c r="M15" s="646"/>
      <c r="N15" s="646"/>
      <c r="O15" s="646"/>
      <c r="P15" s="646"/>
      <c r="Q15" s="647"/>
      <c r="T15" s="1"/>
      <c r="Y15" s="3"/>
      <c r="AB15" s="85"/>
      <c r="AC15" s="139"/>
      <c r="AD15" s="139"/>
      <c r="AE15" s="141"/>
      <c r="AM15" s="2"/>
      <c r="AR15" s="3"/>
    </row>
    <row r="16" spans="1:49" ht="36.75" customHeight="1" thickBot="1" x14ac:dyDescent="0.25">
      <c r="A16" s="77">
        <f t="shared" ref="A16:C19" si="0">+A6</f>
        <v>8</v>
      </c>
      <c r="B16" s="76" t="str">
        <f t="shared" si="0"/>
        <v>CONSORCIO VIAL NS</v>
      </c>
      <c r="C16" s="648" t="str">
        <f t="shared" si="0"/>
        <v>%</v>
      </c>
      <c r="D16" s="649"/>
      <c r="E16" s="650" t="str">
        <f>+E6</f>
        <v>Condición integrante</v>
      </c>
      <c r="F16" s="651"/>
      <c r="G16" s="91"/>
      <c r="H16" s="92"/>
      <c r="I16" s="93"/>
      <c r="J16" s="76" t="str">
        <f>IF(AND(J17="N. A.",J18="N. A.",J19="N. A.",J20="N. A."),"N. A.",IF(AS8&gt;=1,"HABIL","NO HABIL"))</f>
        <v>HABIL</v>
      </c>
      <c r="K16" s="78"/>
      <c r="L16" s="641"/>
      <c r="M16" s="642"/>
      <c r="N16" s="642"/>
      <c r="O16" s="642"/>
      <c r="P16" s="642"/>
      <c r="Q16" s="643"/>
      <c r="T16" s="1"/>
      <c r="Y16" s="3"/>
      <c r="AM16" s="2"/>
      <c r="AR16" s="3"/>
    </row>
    <row r="17" spans="1:45" ht="31.5" customHeight="1" thickTop="1" x14ac:dyDescent="0.2">
      <c r="A17" s="95" t="str">
        <f t="shared" si="0"/>
        <v>8A</v>
      </c>
      <c r="B17" s="96" t="str">
        <f t="shared" si="0"/>
        <v>JORGE PIDDO  SUCURSAL COLOMBIA</v>
      </c>
      <c r="C17" s="637">
        <f t="shared" si="0"/>
        <v>0.6</v>
      </c>
      <c r="D17" s="638"/>
      <c r="E17" s="638" t="str">
        <f>+E7</f>
        <v>LIDER</v>
      </c>
      <c r="F17" s="638"/>
      <c r="G17" s="652" t="s">
        <v>77</v>
      </c>
      <c r="H17" s="638"/>
      <c r="I17" s="221">
        <v>32.517449999999997</v>
      </c>
      <c r="J17" s="167" t="str">
        <f>IF(B7="","N. A.",IF(AND(G7="O",I17&gt;=10),"HABIL",IF(AND(G7="O",I17&lt;10),"NO HABIL","N. A.")))</f>
        <v>HABIL</v>
      </c>
      <c r="K17" s="222">
        <f>O7</f>
        <v>37</v>
      </c>
      <c r="L17" s="641"/>
      <c r="M17" s="642"/>
      <c r="N17" s="642"/>
      <c r="O17" s="642"/>
      <c r="P17" s="642"/>
      <c r="Q17" s="643"/>
      <c r="T17" s="1"/>
      <c r="Y17" s="3"/>
      <c r="AM17" s="2"/>
      <c r="AR17" s="3"/>
    </row>
    <row r="18" spans="1:45" ht="39" customHeight="1" x14ac:dyDescent="0.2">
      <c r="A18" s="98" t="str">
        <f t="shared" si="0"/>
        <v>8B</v>
      </c>
      <c r="B18" s="99" t="str">
        <f t="shared" si="0"/>
        <v>INTERSA S.A.</v>
      </c>
      <c r="C18" s="759">
        <f t="shared" si="0"/>
        <v>0.3</v>
      </c>
      <c r="D18" s="639"/>
      <c r="E18" s="639" t="str">
        <f>+E8</f>
        <v>NO LIDER</v>
      </c>
      <c r="F18" s="639"/>
      <c r="G18" s="640" t="s">
        <v>77</v>
      </c>
      <c r="H18" s="639"/>
      <c r="I18" s="223">
        <v>27.88775</v>
      </c>
      <c r="J18" s="275" t="str">
        <f>IF(B8="","N. A.",IF(AND(G8="O",I18&gt;=10),"HABIL",IF(AND(G8="O",I18&lt;10),"NO HABIL","N. A.")))</f>
        <v>HABIL</v>
      </c>
      <c r="K18" s="224">
        <v>46</v>
      </c>
      <c r="L18" s="641"/>
      <c r="M18" s="642"/>
      <c r="N18" s="642"/>
      <c r="O18" s="642"/>
      <c r="P18" s="642"/>
      <c r="Q18" s="643"/>
      <c r="T18" s="1"/>
      <c r="Y18" s="3"/>
      <c r="AM18" s="2"/>
      <c r="AR18" s="3"/>
    </row>
    <row r="19" spans="1:45" ht="27.75" customHeight="1" x14ac:dyDescent="0.2">
      <c r="A19" s="98" t="str">
        <f t="shared" si="0"/>
        <v>8C</v>
      </c>
      <c r="B19" s="99" t="str">
        <f t="shared" si="0"/>
        <v>SIGA INGENIERIA SAS</v>
      </c>
      <c r="C19" s="759">
        <f t="shared" si="0"/>
        <v>0.1</v>
      </c>
      <c r="D19" s="639"/>
      <c r="E19" s="639" t="str">
        <f>+E9</f>
        <v>NO LIDER</v>
      </c>
      <c r="F19" s="639"/>
      <c r="G19" s="640" t="s">
        <v>77</v>
      </c>
      <c r="H19" s="639"/>
      <c r="I19" s="223">
        <v>11.65</v>
      </c>
      <c r="J19" s="46" t="str">
        <f>IF(B9="","N. A.",IF(AND(G9="O",I19&gt;=10),"HABIL",IF(AND(G9="O",I19&lt;10),"NO HABIL","N. A.")))</f>
        <v>HABIL</v>
      </c>
      <c r="K19" s="224">
        <v>56</v>
      </c>
      <c r="L19" s="641"/>
      <c r="M19" s="642"/>
      <c r="N19" s="642"/>
      <c r="O19" s="642"/>
      <c r="P19" s="642"/>
      <c r="Q19" s="643"/>
      <c r="T19" s="1"/>
      <c r="Y19" s="3"/>
      <c r="AM19" s="2"/>
      <c r="AR19" s="3"/>
    </row>
    <row r="20" spans="1:45" ht="29.25" customHeight="1" thickBot="1" x14ac:dyDescent="0.25">
      <c r="A20" s="100"/>
      <c r="B20" s="101"/>
      <c r="C20" s="627"/>
      <c r="D20" s="628"/>
      <c r="E20" s="628"/>
      <c r="F20" s="628"/>
      <c r="G20" s="629"/>
      <c r="H20" s="628"/>
      <c r="I20" s="225"/>
      <c r="J20" s="75"/>
      <c r="K20" s="226"/>
      <c r="L20" s="630"/>
      <c r="M20" s="631"/>
      <c r="N20" s="631"/>
      <c r="O20" s="631"/>
      <c r="P20" s="631"/>
      <c r="Q20" s="632"/>
      <c r="T20" s="1"/>
      <c r="Y20" s="3"/>
      <c r="AM20" s="2"/>
      <c r="AR20" s="3"/>
    </row>
    <row r="21" spans="1:45" ht="29.25" customHeight="1" x14ac:dyDescent="0.2">
      <c r="A21" s="123"/>
      <c r="B21" s="124"/>
      <c r="C21" s="125"/>
      <c r="D21" s="123"/>
      <c r="E21" s="123"/>
      <c r="F21" s="123"/>
      <c r="G21" s="126"/>
      <c r="H21" s="123"/>
      <c r="I21" s="128"/>
      <c r="J21" s="129"/>
      <c r="K21" s="130"/>
      <c r="L21" s="127"/>
      <c r="M21" s="127"/>
      <c r="N21" s="127"/>
      <c r="O21" s="127"/>
      <c r="P21" s="127"/>
      <c r="Q21" s="127"/>
      <c r="T21" s="1"/>
      <c r="Y21" s="3"/>
      <c r="AM21" s="2"/>
      <c r="AR21" s="3"/>
    </row>
    <row r="22" spans="1:45" ht="16.5" thickBot="1" x14ac:dyDescent="0.25">
      <c r="A22" s="74" t="s">
        <v>213</v>
      </c>
      <c r="T22" s="1"/>
      <c r="Y22" s="3"/>
      <c r="AA22" s="113"/>
      <c r="AB22" s="113"/>
      <c r="AC22" s="113"/>
      <c r="AD22" s="113"/>
      <c r="AE22" s="113"/>
      <c r="AF22" s="113"/>
      <c r="AM22" s="2"/>
      <c r="AR22" s="3"/>
    </row>
    <row r="23" spans="1:45" ht="141.75" customHeight="1" x14ac:dyDescent="0.2">
      <c r="A23" s="633" t="s">
        <v>112</v>
      </c>
      <c r="B23" s="634"/>
      <c r="C23" s="635" t="s">
        <v>113</v>
      </c>
      <c r="D23" s="634"/>
      <c r="E23" s="635" t="s">
        <v>70</v>
      </c>
      <c r="F23" s="634"/>
      <c r="G23" s="619" t="s">
        <v>114</v>
      </c>
      <c r="H23" s="620"/>
      <c r="I23" s="620"/>
      <c r="J23" s="620"/>
      <c r="K23" s="636"/>
      <c r="L23" s="321" t="s">
        <v>115</v>
      </c>
      <c r="M23" s="321" t="s">
        <v>126</v>
      </c>
      <c r="N23" s="321" t="s">
        <v>117</v>
      </c>
      <c r="O23" s="321" t="s">
        <v>118</v>
      </c>
      <c r="P23" s="321" t="s">
        <v>127</v>
      </c>
      <c r="Q23" s="321" t="s">
        <v>106</v>
      </c>
      <c r="R23" s="619" t="s">
        <v>2</v>
      </c>
      <c r="S23" s="620"/>
      <c r="T23" s="620"/>
      <c r="U23" s="620"/>
      <c r="V23" s="620"/>
      <c r="W23" s="620"/>
      <c r="X23" s="620"/>
      <c r="Y23" s="621"/>
      <c r="Z23" s="114"/>
      <c r="AA23" s="114"/>
      <c r="AB23" s="114"/>
      <c r="AC23" s="114"/>
      <c r="AD23" s="114"/>
      <c r="AE23" s="114"/>
      <c r="AF23" s="111"/>
      <c r="AG23" s="111"/>
      <c r="AH23" s="111"/>
      <c r="AI23" s="111"/>
      <c r="AJ23" s="111"/>
      <c r="AK23" s="111"/>
      <c r="AL23" s="111"/>
      <c r="AQ23" s="3"/>
    </row>
    <row r="24" spans="1:45" ht="39.75" customHeight="1" x14ac:dyDescent="0.2">
      <c r="A24" s="622" t="s">
        <v>287</v>
      </c>
      <c r="B24" s="623"/>
      <c r="C24" s="531" t="str">
        <f>IFERROR(INDEX($E$7:$E$9,MATCH(A24,$B$7:$B$9,0)),"N.A.")</f>
        <v>LIDER</v>
      </c>
      <c r="D24" s="532"/>
      <c r="E24" s="531">
        <v>1</v>
      </c>
      <c r="F24" s="532"/>
      <c r="G24" s="885" t="s">
        <v>408</v>
      </c>
      <c r="H24" s="886"/>
      <c r="I24" s="886"/>
      <c r="J24" s="886"/>
      <c r="K24" s="887"/>
      <c r="L24" s="432" t="s">
        <v>407</v>
      </c>
      <c r="M24" s="375" t="s">
        <v>276</v>
      </c>
      <c r="N24" s="185">
        <v>37697</v>
      </c>
      <c r="O24" s="185">
        <v>38853</v>
      </c>
      <c r="P24" s="755" t="s">
        <v>122</v>
      </c>
      <c r="Q24" s="181" t="s">
        <v>409</v>
      </c>
      <c r="R24" s="565"/>
      <c r="S24" s="566"/>
      <c r="T24" s="566"/>
      <c r="U24" s="566"/>
      <c r="V24" s="566"/>
      <c r="W24" s="566"/>
      <c r="X24" s="566"/>
      <c r="Y24" s="567"/>
      <c r="Z24" s="112"/>
      <c r="AA24" s="112"/>
      <c r="AB24" s="112"/>
      <c r="AC24" s="112"/>
      <c r="AD24" s="112"/>
      <c r="AE24" s="112"/>
      <c r="AF24" s="112"/>
      <c r="AG24" s="112"/>
      <c r="AH24" s="112"/>
      <c r="AI24" s="112"/>
      <c r="AJ24" s="112"/>
      <c r="AK24" s="112"/>
      <c r="AL24" s="112"/>
      <c r="AN24" s="1">
        <f>IF(C24="MAP",IF(M24&gt;=30%,#REF!,#REF!*M24),0)</f>
        <v>0</v>
      </c>
      <c r="AO24" s="1">
        <f>SUM(AN24:AN26)</f>
        <v>0</v>
      </c>
      <c r="AQ24" s="3"/>
    </row>
    <row r="25" spans="1:45" ht="78.75" customHeight="1" x14ac:dyDescent="0.2">
      <c r="A25" s="622" t="s">
        <v>288</v>
      </c>
      <c r="B25" s="623"/>
      <c r="C25" s="531" t="str">
        <f>IFERROR(INDEX($E$7:$E$9,MATCH(A25,$B$7:$B$9,0)),"N.A.")</f>
        <v>NO LIDER</v>
      </c>
      <c r="D25" s="532"/>
      <c r="E25" s="531">
        <v>1</v>
      </c>
      <c r="F25" s="532"/>
      <c r="G25" s="815" t="s">
        <v>417</v>
      </c>
      <c r="H25" s="816"/>
      <c r="I25" s="816"/>
      <c r="J25" s="816"/>
      <c r="K25" s="817"/>
      <c r="L25" s="410" t="s">
        <v>382</v>
      </c>
      <c r="M25" s="375" t="s">
        <v>276</v>
      </c>
      <c r="N25" s="185">
        <v>38772</v>
      </c>
      <c r="O25" s="185">
        <v>40656</v>
      </c>
      <c r="P25" s="557"/>
      <c r="Q25" s="193" t="s">
        <v>411</v>
      </c>
      <c r="R25" s="148"/>
      <c r="S25" s="149"/>
      <c r="T25" s="149"/>
      <c r="U25" s="149"/>
      <c r="V25" s="149"/>
      <c r="W25" s="149"/>
      <c r="X25" s="149"/>
      <c r="Y25" s="150"/>
      <c r="Z25" s="112"/>
      <c r="AA25" s="112"/>
      <c r="AB25" s="112"/>
      <c r="AC25" s="112"/>
      <c r="AD25" s="112"/>
      <c r="AE25" s="112"/>
      <c r="AF25" s="112"/>
      <c r="AG25" s="112"/>
      <c r="AH25" s="112"/>
      <c r="AI25" s="112"/>
      <c r="AJ25" s="112"/>
      <c r="AK25" s="112"/>
      <c r="AL25" s="112"/>
      <c r="AQ25" s="3"/>
    </row>
    <row r="26" spans="1:45" ht="68.25" customHeight="1" thickBot="1" x14ac:dyDescent="0.25">
      <c r="A26" s="751" t="s">
        <v>289</v>
      </c>
      <c r="B26" s="752"/>
      <c r="C26" s="586" t="str">
        <f>IFERROR(INDEX($E$7:$E$9,MATCH(A26,$B$7:$B$9,0)),"N.A.")</f>
        <v>NO LIDER</v>
      </c>
      <c r="D26" s="587"/>
      <c r="E26" s="586">
        <v>2</v>
      </c>
      <c r="F26" s="587"/>
      <c r="G26" s="915" t="s">
        <v>413</v>
      </c>
      <c r="H26" s="916"/>
      <c r="I26" s="916"/>
      <c r="J26" s="916"/>
      <c r="K26" s="917"/>
      <c r="L26" s="186" t="s">
        <v>412</v>
      </c>
      <c r="M26" s="186" t="s">
        <v>276</v>
      </c>
      <c r="N26" s="298">
        <v>40742</v>
      </c>
      <c r="O26" s="298">
        <v>41120</v>
      </c>
      <c r="P26" s="558"/>
      <c r="Q26" s="202" t="s">
        <v>414</v>
      </c>
      <c r="R26" s="132"/>
      <c r="S26" s="133"/>
      <c r="T26" s="133"/>
      <c r="U26" s="133"/>
      <c r="V26" s="133"/>
      <c r="W26" s="133"/>
      <c r="X26" s="133"/>
      <c r="Y26" s="134"/>
      <c r="Z26" s="112"/>
      <c r="AA26" s="112"/>
      <c r="AB26" s="112"/>
      <c r="AC26" s="112"/>
      <c r="AD26" s="112"/>
      <c r="AE26" s="112"/>
      <c r="AF26" s="112"/>
      <c r="AG26" s="112"/>
      <c r="AH26" s="112"/>
      <c r="AI26" s="112"/>
      <c r="AJ26" s="112"/>
      <c r="AK26" s="112"/>
      <c r="AL26" s="112"/>
      <c r="AQ26" s="3"/>
    </row>
    <row r="27" spans="1:45" ht="24" customHeight="1" x14ac:dyDescent="0.2">
      <c r="T27" s="1"/>
      <c r="U27" s="1"/>
      <c r="Y27" s="3"/>
      <c r="Z27" s="3"/>
      <c r="AM27" s="2"/>
      <c r="AN27" s="2"/>
      <c r="AS27" s="3"/>
    </row>
    <row r="28" spans="1:45" x14ac:dyDescent="0.2">
      <c r="T28" s="1"/>
      <c r="Y28" s="3"/>
      <c r="AM28" s="2"/>
    </row>
    <row r="29" spans="1:45" ht="16.5" thickBot="1" x14ac:dyDescent="0.25">
      <c r="A29" s="74" t="s">
        <v>214</v>
      </c>
      <c r="T29" s="1"/>
      <c r="Y29" s="3"/>
      <c r="AA29" s="113"/>
      <c r="AB29" s="113"/>
      <c r="AC29" s="113"/>
      <c r="AD29" s="113"/>
      <c r="AE29" s="113"/>
      <c r="AF29" s="113"/>
      <c r="AM29" s="2"/>
      <c r="AR29" s="3"/>
    </row>
    <row r="30" spans="1:45" ht="114" customHeight="1" x14ac:dyDescent="0.2">
      <c r="A30" s="615" t="s">
        <v>112</v>
      </c>
      <c r="B30" s="541"/>
      <c r="C30" s="539" t="s">
        <v>113</v>
      </c>
      <c r="D30" s="541"/>
      <c r="E30" s="539" t="s">
        <v>70</v>
      </c>
      <c r="F30" s="541"/>
      <c r="G30" s="608" t="s">
        <v>114</v>
      </c>
      <c r="H30" s="609"/>
      <c r="I30" s="609"/>
      <c r="J30" s="609"/>
      <c r="K30" s="758"/>
      <c r="L30" s="323" t="s">
        <v>128</v>
      </c>
      <c r="M30" s="320" t="s">
        <v>115</v>
      </c>
      <c r="N30" s="321" t="s">
        <v>117</v>
      </c>
      <c r="O30" s="321" t="s">
        <v>118</v>
      </c>
      <c r="P30" s="321" t="s">
        <v>116</v>
      </c>
      <c r="Q30" s="321" t="s">
        <v>119</v>
      </c>
      <c r="R30" s="320" t="s">
        <v>189</v>
      </c>
      <c r="S30" s="336" t="s">
        <v>272</v>
      </c>
      <c r="T30" s="321" t="s">
        <v>106</v>
      </c>
      <c r="U30" s="619" t="s">
        <v>2</v>
      </c>
      <c r="V30" s="620"/>
      <c r="W30" s="620"/>
      <c r="X30" s="620"/>
      <c r="Y30" s="620"/>
      <c r="Z30" s="620"/>
      <c r="AA30" s="621"/>
      <c r="AB30" s="114"/>
      <c r="AC30" s="114"/>
      <c r="AD30" s="114"/>
      <c r="AE30" s="114"/>
      <c r="AF30" s="111"/>
      <c r="AG30" s="111"/>
      <c r="AH30" s="111"/>
      <c r="AI30" s="111"/>
      <c r="AJ30" s="111"/>
      <c r="AK30" s="111"/>
      <c r="AL30" s="111"/>
      <c r="AQ30" s="3"/>
    </row>
    <row r="31" spans="1:45" ht="116.25" customHeight="1" x14ac:dyDescent="0.2">
      <c r="A31" s="588" t="s">
        <v>287</v>
      </c>
      <c r="B31" s="589"/>
      <c r="C31" s="531" t="str">
        <f>C24</f>
        <v>LIDER</v>
      </c>
      <c r="D31" s="532"/>
      <c r="E31" s="531">
        <v>1</v>
      </c>
      <c r="F31" s="532"/>
      <c r="G31" s="571" t="str">
        <f>G24</f>
        <v>Asesoria para la inspección fiscal Concesión Internacional Sistema Americo Vespucio Norponiente, Av EL Santo - Ruta 78 Region Metropolitana</v>
      </c>
      <c r="H31" s="572"/>
      <c r="I31" s="572"/>
      <c r="J31" s="572"/>
      <c r="K31" s="573"/>
      <c r="L31" s="220" t="s">
        <v>410</v>
      </c>
      <c r="M31" s="182" t="str">
        <f>L24</f>
        <v>Ministerio de Obras Públicas - Chile</v>
      </c>
      <c r="N31" s="185">
        <f>N24</f>
        <v>37697</v>
      </c>
      <c r="O31" s="185">
        <f>O24</f>
        <v>38853</v>
      </c>
      <c r="P31" s="192">
        <v>1</v>
      </c>
      <c r="Q31" s="163">
        <f>(5050838*2958.86)/332000</f>
        <v>45014.224471927715</v>
      </c>
      <c r="R31" s="288" t="str">
        <f>IF(((Q31)&gt;='Calificación Técnica'!E18),"HABIL",IF(((Q31)&lt;'Calificación Técnica'!E18),"NO HABIL",))</f>
        <v>HABIL</v>
      </c>
      <c r="S31" s="755" t="str">
        <f>IF(($Q$31+$Q$32)&gt;='Calificación Técnica'!E14*0.6,IF(($Q$33+$Q$34)&gt;='Calificación Técnica'!E14*0.4,"HABIL","NO HABIL"))</f>
        <v>HABIL</v>
      </c>
      <c r="T31" s="181" t="str">
        <f>Q24</f>
        <v>78 - 82</v>
      </c>
      <c r="U31" s="565"/>
      <c r="V31" s="566"/>
      <c r="W31" s="566"/>
      <c r="X31" s="566"/>
      <c r="Y31" s="566"/>
      <c r="Z31" s="566"/>
      <c r="AA31" s="567"/>
      <c r="AB31" s="112"/>
      <c r="AC31" s="112"/>
      <c r="AD31" s="112"/>
      <c r="AE31" s="112"/>
      <c r="AF31" s="112"/>
      <c r="AG31" s="112"/>
      <c r="AH31" s="112"/>
      <c r="AI31" s="112"/>
      <c r="AJ31" s="112"/>
      <c r="AK31" s="112"/>
      <c r="AL31" s="112"/>
      <c r="AM31" s="112"/>
      <c r="AN31" s="112"/>
      <c r="AP31" s="1">
        <f>IF(C31="MAP",IF(N31&gt;=30%,#REF!,#REF!*N31),0)</f>
        <v>0</v>
      </c>
      <c r="AQ31" s="1">
        <f>SUM(AP31:AP34)</f>
        <v>0</v>
      </c>
      <c r="AS31" s="3"/>
    </row>
    <row r="32" spans="1:45" ht="90" customHeight="1" x14ac:dyDescent="0.2">
      <c r="A32" s="588" t="s">
        <v>287</v>
      </c>
      <c r="B32" s="589"/>
      <c r="C32" s="531" t="str">
        <f>C25</f>
        <v>NO LIDER</v>
      </c>
      <c r="D32" s="532"/>
      <c r="E32" s="531">
        <v>2</v>
      </c>
      <c r="F32" s="532"/>
      <c r="G32" s="888" t="s">
        <v>415</v>
      </c>
      <c r="H32" s="889"/>
      <c r="I32" s="889"/>
      <c r="J32" s="889"/>
      <c r="K32" s="890"/>
      <c r="L32" s="220" t="s">
        <v>410</v>
      </c>
      <c r="M32" s="182" t="s">
        <v>407</v>
      </c>
      <c r="N32" s="185">
        <v>36363</v>
      </c>
      <c r="O32" s="185">
        <v>37843</v>
      </c>
      <c r="P32" s="192">
        <v>0.5</v>
      </c>
      <c r="Q32" s="163">
        <f>(6541364.15*1809.56)/236460</f>
        <v>50059.168194510698</v>
      </c>
      <c r="R32" s="288" t="str">
        <f>IF(((Q32)&gt;='Calificación Técnica'!E18),"HABIL",IF(((Q32)&lt;'Calificación Técnica'!E18),"NO HABIL",))</f>
        <v>HABIL</v>
      </c>
      <c r="S32" s="557"/>
      <c r="T32" s="181" t="s">
        <v>416</v>
      </c>
      <c r="U32" s="565"/>
      <c r="V32" s="566"/>
      <c r="W32" s="566"/>
      <c r="X32" s="566"/>
      <c r="Y32" s="566"/>
      <c r="Z32" s="566"/>
      <c r="AA32" s="567"/>
      <c r="AB32" s="112"/>
      <c r="AC32" s="112"/>
      <c r="AD32" s="112"/>
      <c r="AE32" s="112"/>
      <c r="AF32" s="112"/>
      <c r="AG32" s="112"/>
      <c r="AH32" s="112"/>
      <c r="AI32" s="112"/>
      <c r="AJ32" s="112"/>
      <c r="AK32" s="112"/>
      <c r="AL32" s="112"/>
      <c r="AM32" s="112"/>
      <c r="AN32" s="112"/>
      <c r="AP32" s="1">
        <f>IF(C32="MAP",IF(N32&gt;=30%,#REF!,#REF!*N32),0)</f>
        <v>0</v>
      </c>
      <c r="AS32" s="3"/>
    </row>
    <row r="33" spans="1:49" s="305" customFormat="1" ht="72" customHeight="1" x14ac:dyDescent="0.2">
      <c r="A33" s="756" t="s">
        <v>288</v>
      </c>
      <c r="B33" s="757"/>
      <c r="C33" s="741" t="s">
        <v>265</v>
      </c>
      <c r="D33" s="742"/>
      <c r="E33" s="741">
        <v>1</v>
      </c>
      <c r="F33" s="742"/>
      <c r="G33" s="815" t="str">
        <f>G25</f>
        <v>Contrato de Concesión N° 062 del 20 de diciembre de 2005, el Interventor se obliga a ejecutar para el INCO la interventoría técnica, ambiental, legal, administrativa, predial, financiera y operatva en la etapa de operación del conctrato de concesión N849 de 1995. Desarrollo vial carretera Neiva - Espinal - Girardot</v>
      </c>
      <c r="H33" s="816"/>
      <c r="I33" s="816"/>
      <c r="J33" s="816"/>
      <c r="K33" s="817"/>
      <c r="L33" s="313" t="s">
        <v>133</v>
      </c>
      <c r="M33" s="252" t="str">
        <f>L25</f>
        <v>INVIAS</v>
      </c>
      <c r="N33" s="302">
        <f>N25</f>
        <v>38772</v>
      </c>
      <c r="O33" s="302">
        <f>O25</f>
        <v>40656</v>
      </c>
      <c r="P33" s="314">
        <v>0.5</v>
      </c>
      <c r="Q33" s="433">
        <f>(4684186227)/408000</f>
        <v>11480.848595588235</v>
      </c>
      <c r="R33" s="308" t="s">
        <v>108</v>
      </c>
      <c r="S33" s="557"/>
      <c r="T33" s="363" t="str">
        <f>Q25</f>
        <v>91 - 94</v>
      </c>
      <c r="U33" s="737"/>
      <c r="V33" s="738"/>
      <c r="W33" s="738"/>
      <c r="X33" s="738"/>
      <c r="Y33" s="738"/>
      <c r="Z33" s="738"/>
      <c r="AA33" s="739"/>
      <c r="AB33" s="309"/>
      <c r="AC33" s="309"/>
      <c r="AD33" s="309"/>
      <c r="AE33" s="309"/>
      <c r="AF33" s="309"/>
      <c r="AG33" s="309"/>
      <c r="AH33" s="309"/>
      <c r="AI33" s="309"/>
      <c r="AJ33" s="309"/>
      <c r="AK33" s="309"/>
      <c r="AL33" s="309"/>
      <c r="AM33" s="309"/>
      <c r="AN33" s="309"/>
      <c r="AP33" s="305">
        <f>IF(C33="MAP",IF(N33&gt;=30%,#REF!,#REF!*N33),0)</f>
        <v>0</v>
      </c>
      <c r="AS33" s="310"/>
    </row>
    <row r="34" spans="1:49" s="305" customFormat="1" ht="81.75" customHeight="1" thickBot="1" x14ac:dyDescent="0.25">
      <c r="A34" s="756" t="s">
        <v>289</v>
      </c>
      <c r="B34" s="757"/>
      <c r="C34" s="741" t="s">
        <v>265</v>
      </c>
      <c r="D34" s="742"/>
      <c r="E34" s="741">
        <v>2</v>
      </c>
      <c r="F34" s="742"/>
      <c r="G34" s="815" t="str">
        <f>G26</f>
        <v>Interventoria de la ampliación de la doble calzada de la carrertera 65 entre calles 101 y 103E y obras complementarias</v>
      </c>
      <c r="H34" s="816"/>
      <c r="I34" s="816"/>
      <c r="J34" s="816"/>
      <c r="K34" s="817"/>
      <c r="L34" s="313" t="s">
        <v>133</v>
      </c>
      <c r="M34" s="252" t="str">
        <f>L26</f>
        <v>Secretaria de Obras del Municipio de Medellín</v>
      </c>
      <c r="N34" s="302">
        <f>N26</f>
        <v>40742</v>
      </c>
      <c r="O34" s="302">
        <f>O26</f>
        <v>41120</v>
      </c>
      <c r="P34" s="314">
        <v>0.5</v>
      </c>
      <c r="Q34" s="163">
        <f>(516881404)/535600</f>
        <v>965.05116504854368</v>
      </c>
      <c r="R34" s="254" t="s">
        <v>108</v>
      </c>
      <c r="S34" s="840"/>
      <c r="T34" s="363" t="str">
        <f>Q26</f>
        <v>96 - 98</v>
      </c>
      <c r="U34" s="737"/>
      <c r="V34" s="738"/>
      <c r="W34" s="738"/>
      <c r="X34" s="738"/>
      <c r="Y34" s="738"/>
      <c r="Z34" s="738"/>
      <c r="AA34" s="739"/>
      <c r="AB34" s="309"/>
      <c r="AC34" s="309"/>
      <c r="AD34" s="309"/>
      <c r="AE34" s="309"/>
      <c r="AF34" s="309"/>
      <c r="AG34" s="309"/>
      <c r="AH34" s="309"/>
      <c r="AI34" s="309"/>
      <c r="AJ34" s="309"/>
      <c r="AK34" s="309"/>
      <c r="AL34" s="309"/>
      <c r="AM34" s="309"/>
      <c r="AN34" s="309"/>
      <c r="AP34" s="305">
        <f>IF(C34="MAP",IF(N34&gt;=30%,#REF!,#REF!*N34),0)</f>
        <v>0</v>
      </c>
      <c r="AS34" s="310"/>
    </row>
    <row r="35" spans="1:49" x14ac:dyDescent="0.2">
      <c r="Q35" s="300">
        <f>SUM(Q31:Q34)</f>
        <v>107519.2924270752</v>
      </c>
      <c r="R35" s="169" t="str">
        <f>IF(B8="","N. A.",IF((Q35&gt;='Calificación Técnica'!E14),"CUMPLE",IF((Q35&lt;'Calificación Técnica'!E14),"NO CUMPLE","N. A.")))</f>
        <v>CUMPLE</v>
      </c>
    </row>
    <row r="37" spans="1:49" ht="25.5" x14ac:dyDescent="0.25">
      <c r="A37" s="90" t="s">
        <v>145</v>
      </c>
      <c r="M37" s="434">
        <f>22/4</f>
        <v>5.5</v>
      </c>
      <c r="T37" s="1"/>
      <c r="U37" s="1"/>
      <c r="Y37" s="3"/>
      <c r="Z37" s="3"/>
      <c r="AM37" s="2"/>
      <c r="AN37" s="2"/>
      <c r="AO37" s="2"/>
      <c r="AP37" s="2"/>
      <c r="AQ37" s="2"/>
      <c r="AR37" s="2"/>
      <c r="AS37" s="2"/>
      <c r="AT37" s="2"/>
      <c r="AU37" s="2"/>
      <c r="AV37" s="2"/>
    </row>
    <row r="38" spans="1:49" ht="16.5" thickBot="1" x14ac:dyDescent="0.25">
      <c r="A38" s="74" t="s">
        <v>220</v>
      </c>
      <c r="T38" s="1"/>
      <c r="U38" s="1"/>
      <c r="V38" s="1"/>
      <c r="Y38" s="3"/>
      <c r="Z38" s="3"/>
      <c r="AA38" s="3"/>
      <c r="AM38" s="2"/>
      <c r="AN38" s="2"/>
      <c r="AO38" s="2"/>
      <c r="AP38" s="2"/>
      <c r="AQ38" s="2"/>
      <c r="AR38" s="2"/>
      <c r="AS38" s="2"/>
      <c r="AT38" s="2"/>
      <c r="AU38" s="2"/>
      <c r="AV38" s="2"/>
      <c r="AW38" s="2"/>
    </row>
    <row r="39" spans="1:49" ht="24" customHeight="1" x14ac:dyDescent="0.2">
      <c r="A39" s="592" t="s">
        <v>112</v>
      </c>
      <c r="B39" s="559"/>
      <c r="C39" s="559" t="s">
        <v>113</v>
      </c>
      <c r="D39" s="559"/>
      <c r="E39" s="559" t="s">
        <v>70</v>
      </c>
      <c r="F39" s="559"/>
      <c r="G39" s="562" t="s">
        <v>114</v>
      </c>
      <c r="H39" s="562"/>
      <c r="I39" s="562"/>
      <c r="J39" s="562"/>
      <c r="K39" s="562"/>
      <c r="L39" s="562"/>
      <c r="M39" s="562"/>
      <c r="N39" s="559" t="s">
        <v>115</v>
      </c>
      <c r="O39" s="559" t="s">
        <v>116</v>
      </c>
      <c r="P39" s="559" t="s">
        <v>117</v>
      </c>
      <c r="Q39" s="559" t="s">
        <v>118</v>
      </c>
      <c r="R39" s="559" t="s">
        <v>119</v>
      </c>
      <c r="S39" s="559" t="s">
        <v>139</v>
      </c>
      <c r="T39" s="554" t="s">
        <v>197</v>
      </c>
      <c r="U39" s="539" t="s">
        <v>195</v>
      </c>
      <c r="V39" s="540"/>
      <c r="W39" s="541"/>
      <c r="X39" s="720" t="s">
        <v>194</v>
      </c>
      <c r="Y39" s="720" t="s">
        <v>106</v>
      </c>
      <c r="Z39" s="533" t="s">
        <v>2</v>
      </c>
      <c r="AA39" s="533"/>
      <c r="AB39" s="533"/>
      <c r="AC39" s="533"/>
      <c r="AD39" s="533"/>
      <c r="AE39" s="533"/>
      <c r="AF39" s="533"/>
      <c r="AG39" s="533"/>
      <c r="AH39" s="533"/>
      <c r="AI39" s="534"/>
      <c r="AJ39" s="1"/>
      <c r="AK39" s="1"/>
      <c r="AL39" s="1"/>
    </row>
    <row r="40" spans="1:49" ht="30.75" customHeight="1" x14ac:dyDescent="0.2">
      <c r="A40" s="593"/>
      <c r="B40" s="560"/>
      <c r="C40" s="560"/>
      <c r="D40" s="560"/>
      <c r="E40" s="560"/>
      <c r="F40" s="560"/>
      <c r="G40" s="563"/>
      <c r="H40" s="563"/>
      <c r="I40" s="563"/>
      <c r="J40" s="563"/>
      <c r="K40" s="563"/>
      <c r="L40" s="563"/>
      <c r="M40" s="563"/>
      <c r="N40" s="560"/>
      <c r="O40" s="560"/>
      <c r="P40" s="560"/>
      <c r="Q40" s="560"/>
      <c r="R40" s="560"/>
      <c r="S40" s="560"/>
      <c r="T40" s="555"/>
      <c r="U40" s="542"/>
      <c r="V40" s="543"/>
      <c r="W40" s="544"/>
      <c r="X40" s="721"/>
      <c r="Y40" s="740"/>
      <c r="Z40" s="535"/>
      <c r="AA40" s="535"/>
      <c r="AB40" s="535"/>
      <c r="AC40" s="535"/>
      <c r="AD40" s="535"/>
      <c r="AE40" s="535"/>
      <c r="AF40" s="535"/>
      <c r="AG40" s="535"/>
      <c r="AH40" s="535"/>
      <c r="AI40" s="536"/>
      <c r="AJ40" s="1"/>
      <c r="AK40" s="1"/>
      <c r="AL40" s="1"/>
    </row>
    <row r="41" spans="1:49" ht="133.5" customHeight="1" thickBot="1" x14ac:dyDescent="0.25">
      <c r="A41" s="594"/>
      <c r="B41" s="561"/>
      <c r="C41" s="561"/>
      <c r="D41" s="561"/>
      <c r="E41" s="561"/>
      <c r="F41" s="561"/>
      <c r="G41" s="564"/>
      <c r="H41" s="564"/>
      <c r="I41" s="564"/>
      <c r="J41" s="564"/>
      <c r="K41" s="564"/>
      <c r="L41" s="564"/>
      <c r="M41" s="564"/>
      <c r="N41" s="561"/>
      <c r="O41" s="561"/>
      <c r="P41" s="561"/>
      <c r="Q41" s="561"/>
      <c r="R41" s="561"/>
      <c r="S41" s="561"/>
      <c r="T41" s="335" t="s">
        <v>218</v>
      </c>
      <c r="U41" s="545"/>
      <c r="V41" s="546"/>
      <c r="W41" s="547"/>
      <c r="X41" s="335" t="s">
        <v>215</v>
      </c>
      <c r="Y41" s="783"/>
      <c r="Z41" s="537"/>
      <c r="AA41" s="537"/>
      <c r="AB41" s="537"/>
      <c r="AC41" s="537"/>
      <c r="AD41" s="537"/>
      <c r="AE41" s="537"/>
      <c r="AF41" s="537"/>
      <c r="AG41" s="537"/>
      <c r="AH41" s="537"/>
      <c r="AI41" s="538"/>
      <c r="AJ41" s="1"/>
      <c r="AK41" s="1"/>
      <c r="AL41" s="1"/>
    </row>
    <row r="42" spans="1:49" ht="57" customHeight="1" x14ac:dyDescent="0.2">
      <c r="A42" s="910" t="s">
        <v>288</v>
      </c>
      <c r="B42" s="911"/>
      <c r="C42" s="788" t="s">
        <v>265</v>
      </c>
      <c r="D42" s="788"/>
      <c r="E42" s="760">
        <v>1</v>
      </c>
      <c r="F42" s="761"/>
      <c r="G42" s="827" t="str">
        <f>G33</f>
        <v>Contrato de Concesión N° 062 del 20 de diciembre de 2005, el Interventor se obliga a ejecutar para el INCO la interventoría técnica, ambiental, legal, administrativa, predial, financiera y operatva en la etapa de operación del conctrato de concesión N849 de 1995. Desarrollo vial carretera Neiva - Espinal - Girardot</v>
      </c>
      <c r="H42" s="827"/>
      <c r="I42" s="827"/>
      <c r="J42" s="827"/>
      <c r="K42" s="827"/>
      <c r="L42" s="827"/>
      <c r="M42" s="827"/>
      <c r="N42" s="233" t="s">
        <v>136</v>
      </c>
      <c r="O42" s="179">
        <v>0.5</v>
      </c>
      <c r="P42" s="180">
        <f>N33</f>
        <v>38772</v>
      </c>
      <c r="Q42" s="180">
        <f>O33</f>
        <v>40656</v>
      </c>
      <c r="R42" s="172">
        <f>Q33</f>
        <v>11480.848595588235</v>
      </c>
      <c r="S42" s="172">
        <v>168</v>
      </c>
      <c r="T42" s="173" t="str">
        <f>IF((R42)&gt;='Calificación Técnica'!$E$24,"CUMPLE","NO CUMPLE")</f>
        <v>CUMPLE</v>
      </c>
      <c r="U42" s="912" t="s">
        <v>76</v>
      </c>
      <c r="V42" s="913"/>
      <c r="W42" s="914"/>
      <c r="X42" s="768" t="str">
        <f>IF(($S$46)&gt;='Calificación Técnica'!C26,"CUMPLE","NO CUMPLE")</f>
        <v>CUMPLE</v>
      </c>
      <c r="Y42" s="378" t="s">
        <v>198</v>
      </c>
      <c r="Z42" s="874"/>
      <c r="AA42" s="875"/>
      <c r="AB42" s="875"/>
      <c r="AC42" s="875"/>
      <c r="AD42" s="875"/>
      <c r="AE42" s="875"/>
      <c r="AF42" s="875"/>
      <c r="AG42" s="875"/>
      <c r="AH42" s="875"/>
      <c r="AI42" s="876"/>
      <c r="AJ42" s="1"/>
      <c r="AK42" s="1"/>
      <c r="AL42" s="1"/>
    </row>
    <row r="43" spans="1:49" ht="36.75" customHeight="1" x14ac:dyDescent="0.2">
      <c r="A43" s="905" t="s">
        <v>287</v>
      </c>
      <c r="B43" s="906"/>
      <c r="C43" s="743" t="s">
        <v>265</v>
      </c>
      <c r="D43" s="743"/>
      <c r="E43" s="743">
        <v>2</v>
      </c>
      <c r="F43" s="743"/>
      <c r="G43" s="744" t="str">
        <f>G31</f>
        <v>Asesoria para la inspección fiscal Concesión Internacional Sistema Americo Vespucio Norponiente, Av EL Santo - Ruta 78 Region Metropolitana</v>
      </c>
      <c r="H43" s="744"/>
      <c r="I43" s="744"/>
      <c r="J43" s="744"/>
      <c r="K43" s="744"/>
      <c r="L43" s="744"/>
      <c r="M43" s="744"/>
      <c r="N43" s="203" t="str">
        <f>M31</f>
        <v>Ministerio de Obras Públicas - Chile</v>
      </c>
      <c r="O43" s="183">
        <f>P31</f>
        <v>1</v>
      </c>
      <c r="P43" s="184">
        <f>N31</f>
        <v>37697</v>
      </c>
      <c r="Q43" s="184">
        <f>O31</f>
        <v>38853</v>
      </c>
      <c r="R43" s="163">
        <f>Q31</f>
        <v>45014.224471927715</v>
      </c>
      <c r="S43" s="151">
        <f>29+25+79.8</f>
        <v>133.80000000000001</v>
      </c>
      <c r="T43" s="156" t="str">
        <f>IF((R43)&gt;='Calificación Técnica'!$E$24,"CUMPLE","NO CUMPLE")</f>
        <v>CUMPLE</v>
      </c>
      <c r="U43" s="764" t="s">
        <v>76</v>
      </c>
      <c r="V43" s="765"/>
      <c r="W43" s="766"/>
      <c r="X43" s="768"/>
      <c r="Y43" s="379" t="s">
        <v>418</v>
      </c>
      <c r="Z43" s="874"/>
      <c r="AA43" s="875"/>
      <c r="AB43" s="875"/>
      <c r="AC43" s="875"/>
      <c r="AD43" s="875"/>
      <c r="AE43" s="875"/>
      <c r="AF43" s="875"/>
      <c r="AG43" s="875"/>
      <c r="AH43" s="875"/>
      <c r="AI43" s="876"/>
      <c r="AJ43" s="1"/>
      <c r="AK43" s="1"/>
      <c r="AL43" s="1"/>
    </row>
    <row r="44" spans="1:49" ht="53.25" customHeight="1" x14ac:dyDescent="0.2">
      <c r="A44" s="905" t="s">
        <v>287</v>
      </c>
      <c r="B44" s="906"/>
      <c r="C44" s="743" t="s">
        <v>265</v>
      </c>
      <c r="D44" s="743"/>
      <c r="E44" s="743">
        <v>3</v>
      </c>
      <c r="F44" s="743"/>
      <c r="G44" s="744" t="str">
        <f>G32</f>
        <v xml:space="preserve">Asesoria a la Inspección Fiscal a la Concesión Internacional Vial Santiago - Valparaiso - Viña del Mar </v>
      </c>
      <c r="H44" s="744"/>
      <c r="I44" s="744"/>
      <c r="J44" s="744"/>
      <c r="K44" s="744"/>
      <c r="L44" s="744"/>
      <c r="M44" s="744"/>
      <c r="N44" s="203" t="str">
        <f>M32</f>
        <v>Ministerio de Obras Públicas - Chile</v>
      </c>
      <c r="O44" s="183">
        <v>0.5</v>
      </c>
      <c r="P44" s="185">
        <f>N32</f>
        <v>36363</v>
      </c>
      <c r="Q44" s="185">
        <f>O32</f>
        <v>37843</v>
      </c>
      <c r="R44" s="163">
        <f>Q32</f>
        <v>50059.168194510698</v>
      </c>
      <c r="S44" s="163">
        <v>137.55000000000001</v>
      </c>
      <c r="T44" s="156" t="str">
        <f>IF((R44)&gt;='Calificación Técnica'!$E$24,"CUMPLE","NO CUMPLE")</f>
        <v>CUMPLE</v>
      </c>
      <c r="U44" s="764" t="s">
        <v>76</v>
      </c>
      <c r="V44" s="765"/>
      <c r="W44" s="766"/>
      <c r="X44" s="768"/>
      <c r="Y44" s="379" t="s">
        <v>419</v>
      </c>
      <c r="Z44" s="874"/>
      <c r="AA44" s="875"/>
      <c r="AB44" s="875"/>
      <c r="AC44" s="875"/>
      <c r="AD44" s="875"/>
      <c r="AE44" s="875"/>
      <c r="AF44" s="875"/>
      <c r="AG44" s="875"/>
      <c r="AH44" s="875"/>
      <c r="AI44" s="876"/>
      <c r="AJ44" s="1"/>
      <c r="AK44" s="1"/>
      <c r="AL44" s="1"/>
    </row>
    <row r="45" spans="1:49" ht="40.5" customHeight="1" thickBot="1" x14ac:dyDescent="0.25">
      <c r="A45" s="903" t="s">
        <v>287</v>
      </c>
      <c r="B45" s="904"/>
      <c r="C45" s="771" t="s">
        <v>265</v>
      </c>
      <c r="D45" s="771"/>
      <c r="E45" s="771">
        <v>4</v>
      </c>
      <c r="F45" s="771"/>
      <c r="G45" s="772" t="s">
        <v>420</v>
      </c>
      <c r="H45" s="772"/>
      <c r="I45" s="772"/>
      <c r="J45" s="772"/>
      <c r="K45" s="772"/>
      <c r="L45" s="772"/>
      <c r="M45" s="772"/>
      <c r="N45" s="186" t="s">
        <v>407</v>
      </c>
      <c r="O45" s="205">
        <v>1</v>
      </c>
      <c r="P45" s="187">
        <v>38313</v>
      </c>
      <c r="Q45" s="187">
        <v>39766</v>
      </c>
      <c r="R45" s="152">
        <f>(6017404.24*2517.86)/358000</f>
        <v>42321.177205939668</v>
      </c>
      <c r="S45" s="163">
        <v>218.4</v>
      </c>
      <c r="T45" s="170" t="str">
        <f>IF((R45)&gt;='Calificación Técnica'!$E$24,"CUMPLE","NO CUMPLE")</f>
        <v>CUMPLE</v>
      </c>
      <c r="U45" s="773" t="s">
        <v>76</v>
      </c>
      <c r="V45" s="774"/>
      <c r="W45" s="775"/>
      <c r="X45" s="769"/>
      <c r="Y45" s="380" t="s">
        <v>421</v>
      </c>
      <c r="Z45" s="877"/>
      <c r="AA45" s="878"/>
      <c r="AB45" s="878"/>
      <c r="AC45" s="878"/>
      <c r="AD45" s="878"/>
      <c r="AE45" s="878"/>
      <c r="AF45" s="878"/>
      <c r="AG45" s="878"/>
      <c r="AH45" s="878"/>
      <c r="AI45" s="879"/>
      <c r="AJ45" s="1"/>
      <c r="AK45" s="1"/>
      <c r="AL45" s="1"/>
    </row>
    <row r="46" spans="1:49" x14ac:dyDescent="0.2">
      <c r="S46" s="166">
        <f>SUM(S42:S45)</f>
        <v>657.75</v>
      </c>
      <c r="T46" s="169" t="s">
        <v>76</v>
      </c>
      <c r="U46" s="2"/>
      <c r="V46" s="2"/>
      <c r="W46" s="2"/>
      <c r="X46" s="2"/>
      <c r="AE46" s="1"/>
      <c r="AF46" s="1"/>
      <c r="AG46" s="1"/>
      <c r="AH46" s="1"/>
      <c r="AI46" s="1"/>
      <c r="AJ46" s="1"/>
      <c r="AK46" s="1"/>
      <c r="AL46" s="1"/>
    </row>
    <row r="47" spans="1:49" x14ac:dyDescent="0.2">
      <c r="S47" s="157"/>
    </row>
  </sheetData>
  <sheetProtection formatColumns="0" formatRows="0"/>
  <mergeCells count="140">
    <mergeCell ref="P4:U5"/>
    <mergeCell ref="I5:J5"/>
    <mergeCell ref="C6:D6"/>
    <mergeCell ref="E6:F6"/>
    <mergeCell ref="G6:M6"/>
    <mergeCell ref="P6:U6"/>
    <mergeCell ref="A4:A5"/>
    <mergeCell ref="B4:B5"/>
    <mergeCell ref="C4:F5"/>
    <mergeCell ref="G4:H5"/>
    <mergeCell ref="I4:N4"/>
    <mergeCell ref="O4:O5"/>
    <mergeCell ref="C7:D7"/>
    <mergeCell ref="E7:F7"/>
    <mergeCell ref="G7:H7"/>
    <mergeCell ref="I7:J7"/>
    <mergeCell ref="P7:U7"/>
    <mergeCell ref="C8:D8"/>
    <mergeCell ref="E8:F8"/>
    <mergeCell ref="G8:H8"/>
    <mergeCell ref="I8:J8"/>
    <mergeCell ref="P8:U8"/>
    <mergeCell ref="C9:D9"/>
    <mergeCell ref="E9:F9"/>
    <mergeCell ref="G9:H9"/>
    <mergeCell ref="I9:J9"/>
    <mergeCell ref="P9:U9"/>
    <mergeCell ref="C10:D10"/>
    <mergeCell ref="E10:F10"/>
    <mergeCell ref="G10:H10"/>
    <mergeCell ref="I10:J10"/>
    <mergeCell ref="P10:U10"/>
    <mergeCell ref="L14:Q15"/>
    <mergeCell ref="C16:D16"/>
    <mergeCell ref="E16:F16"/>
    <mergeCell ref="L16:Q16"/>
    <mergeCell ref="C17:D17"/>
    <mergeCell ref="E17:F17"/>
    <mergeCell ref="G17:H17"/>
    <mergeCell ref="L17:Q17"/>
    <mergeCell ref="A14:A15"/>
    <mergeCell ref="B14:B15"/>
    <mergeCell ref="C14:F15"/>
    <mergeCell ref="G14:H15"/>
    <mergeCell ref="I14:J14"/>
    <mergeCell ref="K14:K15"/>
    <mergeCell ref="C20:D20"/>
    <mergeCell ref="E20:F20"/>
    <mergeCell ref="G20:H20"/>
    <mergeCell ref="L20:Q20"/>
    <mergeCell ref="A23:B23"/>
    <mergeCell ref="C23:D23"/>
    <mergeCell ref="E23:F23"/>
    <mergeCell ref="G23:K23"/>
    <mergeCell ref="C18:D18"/>
    <mergeCell ref="E18:F18"/>
    <mergeCell ref="G18:H18"/>
    <mergeCell ref="L18:Q18"/>
    <mergeCell ref="C19:D19"/>
    <mergeCell ref="E19:F19"/>
    <mergeCell ref="G19:H19"/>
    <mergeCell ref="L19:Q19"/>
    <mergeCell ref="R23:Y23"/>
    <mergeCell ref="A24:B24"/>
    <mergeCell ref="C24:D24"/>
    <mergeCell ref="E24:F24"/>
    <mergeCell ref="G24:K24"/>
    <mergeCell ref="P24:P26"/>
    <mergeCell ref="R24:Y24"/>
    <mergeCell ref="A25:B25"/>
    <mergeCell ref="C25:D25"/>
    <mergeCell ref="E25:F25"/>
    <mergeCell ref="G25:K25"/>
    <mergeCell ref="A26:B26"/>
    <mergeCell ref="C26:D26"/>
    <mergeCell ref="E26:F26"/>
    <mergeCell ref="G26:K26"/>
    <mergeCell ref="A30:B30"/>
    <mergeCell ref="C30:D30"/>
    <mergeCell ref="E30:F30"/>
    <mergeCell ref="G30:K30"/>
    <mergeCell ref="G32:K32"/>
    <mergeCell ref="U32:AA32"/>
    <mergeCell ref="A33:B33"/>
    <mergeCell ref="C33:D33"/>
    <mergeCell ref="E33:F33"/>
    <mergeCell ref="G33:K33"/>
    <mergeCell ref="U33:AA33"/>
    <mergeCell ref="U30:AA30"/>
    <mergeCell ref="A31:B31"/>
    <mergeCell ref="C31:D31"/>
    <mergeCell ref="E31:F31"/>
    <mergeCell ref="G31:K31"/>
    <mergeCell ref="S31:S34"/>
    <mergeCell ref="U31:AA31"/>
    <mergeCell ref="A32:B32"/>
    <mergeCell ref="C32:D32"/>
    <mergeCell ref="E32:F32"/>
    <mergeCell ref="A34:B34"/>
    <mergeCell ref="C34:D34"/>
    <mergeCell ref="E34:F34"/>
    <mergeCell ref="G34:K34"/>
    <mergeCell ref="U34:AA34"/>
    <mergeCell ref="T39:T40"/>
    <mergeCell ref="X39:X40"/>
    <mergeCell ref="A39:B41"/>
    <mergeCell ref="C39:D41"/>
    <mergeCell ref="E39:F41"/>
    <mergeCell ref="S39:S41"/>
    <mergeCell ref="U39:W41"/>
    <mergeCell ref="Y39:Y41"/>
    <mergeCell ref="Z39:AI41"/>
    <mergeCell ref="G39:M41"/>
    <mergeCell ref="N39:N41"/>
    <mergeCell ref="O39:O41"/>
    <mergeCell ref="P39:P41"/>
    <mergeCell ref="Q39:Q41"/>
    <mergeCell ref="R39:R41"/>
    <mergeCell ref="U44:W44"/>
    <mergeCell ref="A45:B45"/>
    <mergeCell ref="C45:D45"/>
    <mergeCell ref="E45:F45"/>
    <mergeCell ref="G45:M45"/>
    <mergeCell ref="U45:W45"/>
    <mergeCell ref="Z42:AI45"/>
    <mergeCell ref="A43:B43"/>
    <mergeCell ref="C43:D43"/>
    <mergeCell ref="E43:F43"/>
    <mergeCell ref="G43:M43"/>
    <mergeCell ref="U43:W43"/>
    <mergeCell ref="A44:B44"/>
    <mergeCell ref="C44:D44"/>
    <mergeCell ref="E44:F44"/>
    <mergeCell ref="G44:M44"/>
    <mergeCell ref="A42:B42"/>
    <mergeCell ref="C42:D42"/>
    <mergeCell ref="E42:F42"/>
    <mergeCell ref="G42:M42"/>
    <mergeCell ref="U42:W42"/>
    <mergeCell ref="X42:X45"/>
  </mergeCells>
  <conditionalFormatting sqref="T42:T45 P24:P26 J16 N6 S31:S32">
    <cfRule type="cellIs" dxfId="8" priority="7" stopIfTrue="1" operator="equal">
      <formula>"NO HABIL"</formula>
    </cfRule>
  </conditionalFormatting>
  <dataValidations count="4">
    <dataValidation type="list" allowBlank="1" showInputMessage="1" showErrorMessage="1" sqref="A42:B45">
      <formula1>$B$7:$B$8</formula1>
    </dataValidation>
    <dataValidation type="list" allowBlank="1" showInputMessage="1" showErrorMessage="1" sqref="K7:L11 M10:M11">
      <formula1>$AN$7:$AN$8</formula1>
    </dataValidation>
    <dataValidation type="list" allowBlank="1" showInputMessage="1" showErrorMessage="1" sqref="G7:H11">
      <formula1>$AM$7:$AM$8</formula1>
    </dataValidation>
    <dataValidation type="list" allowBlank="1" showInputMessage="1" showErrorMessage="1" sqref="B24 A24:A26 A31:B34">
      <formula1>$B$7:$B$9</formula1>
    </dataValidation>
  </dataValidations>
  <printOptions horizontalCentered="1" verticalCentered="1"/>
  <pageMargins left="0.25" right="0.23622047244094491" top="0.78740157480314965" bottom="0.34" header="0.51181102362204722" footer="0.51181102362204722"/>
  <pageSetup paperSize="119" scale="2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9" sqref="D9"/>
    </sheetView>
  </sheetViews>
  <sheetFormatPr baseColWidth="10" defaultRowHeight="12.75" x14ac:dyDescent="0.2"/>
  <cols>
    <col min="2" max="2" width="14.7109375" customWidth="1"/>
    <col min="3" max="3" width="12.7109375" customWidth="1"/>
    <col min="4" max="4" width="17" customWidth="1"/>
  </cols>
  <sheetData>
    <row r="1" spans="1:4" ht="13.5" thickBot="1" x14ac:dyDescent="0.25"/>
    <row r="2" spans="1:4" x14ac:dyDescent="0.2">
      <c r="A2" s="837" t="s">
        <v>140</v>
      </c>
      <c r="B2" s="838"/>
      <c r="C2" s="838"/>
      <c r="D2" s="839"/>
    </row>
    <row r="3" spans="1:4" ht="63.75" x14ac:dyDescent="0.2">
      <c r="A3" s="161" t="s">
        <v>141</v>
      </c>
      <c r="B3" s="159" t="s">
        <v>149</v>
      </c>
      <c r="C3" s="159" t="s">
        <v>142</v>
      </c>
      <c r="D3" s="306" t="str">
        <f>'P8'!B6</f>
        <v>CONSORCIO VIAL NS</v>
      </c>
    </row>
    <row r="4" spans="1:4" ht="25.5" customHeight="1" x14ac:dyDescent="0.2">
      <c r="A4" s="834" t="s">
        <v>143</v>
      </c>
      <c r="B4" s="728">
        <v>100</v>
      </c>
      <c r="C4" s="158">
        <v>1</v>
      </c>
      <c r="D4" s="729">
        <v>900</v>
      </c>
    </row>
    <row r="5" spans="1:4" ht="25.5" customHeight="1" x14ac:dyDescent="0.2">
      <c r="A5" s="835"/>
      <c r="B5" s="728"/>
      <c r="C5" s="158">
        <v>2</v>
      </c>
      <c r="D5" s="729"/>
    </row>
    <row r="6" spans="1:4" ht="25.5" customHeight="1" x14ac:dyDescent="0.2">
      <c r="A6" s="835"/>
      <c r="B6" s="728"/>
      <c r="C6" s="158">
        <v>3</v>
      </c>
      <c r="D6" s="729"/>
    </row>
    <row r="7" spans="1:4" ht="25.5" customHeight="1" x14ac:dyDescent="0.2">
      <c r="A7" s="836"/>
      <c r="B7" s="728"/>
      <c r="C7" s="158">
        <v>4</v>
      </c>
      <c r="D7" s="729"/>
    </row>
    <row r="8" spans="1:4" ht="13.5" thickBot="1" x14ac:dyDescent="0.25">
      <c r="A8" s="725" t="s">
        <v>144</v>
      </c>
      <c r="B8" s="726"/>
      <c r="C8" s="726"/>
      <c r="D8" s="307">
        <v>1000</v>
      </c>
    </row>
  </sheetData>
  <mergeCells count="5">
    <mergeCell ref="A4:A7"/>
    <mergeCell ref="B4:B7"/>
    <mergeCell ref="D4:D7"/>
    <mergeCell ref="A8:C8"/>
    <mergeCell ref="A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B6" sqref="B6"/>
    </sheetView>
  </sheetViews>
  <sheetFormatPr baseColWidth="10" defaultRowHeight="12.75" x14ac:dyDescent="0.2"/>
  <cols>
    <col min="1" max="1" width="11.85546875" style="50" customWidth="1"/>
    <col min="2" max="2" width="46.42578125" style="50" customWidth="1"/>
    <col min="3" max="3" width="6.28515625" style="50" customWidth="1"/>
    <col min="4" max="4" width="12.5703125" style="50" customWidth="1"/>
    <col min="5" max="5" width="11.42578125" style="50" customWidth="1"/>
    <col min="6" max="6" width="44.140625" style="51" customWidth="1"/>
    <col min="7" max="7" width="13.85546875" bestFit="1" customWidth="1"/>
    <col min="8" max="8" width="13.85546875" style="52" bestFit="1" customWidth="1"/>
  </cols>
  <sheetData>
    <row r="1" spans="1:8" ht="32.25" thickBot="1" x14ac:dyDescent="0.25">
      <c r="A1" s="63" t="s">
        <v>84</v>
      </c>
      <c r="B1" s="66" t="s">
        <v>80</v>
      </c>
      <c r="C1" s="67"/>
      <c r="D1" s="63" t="s">
        <v>84</v>
      </c>
      <c r="E1" s="65" t="s">
        <v>85</v>
      </c>
      <c r="F1" s="65" t="s">
        <v>81</v>
      </c>
      <c r="G1" s="64" t="s">
        <v>82</v>
      </c>
      <c r="H1" s="66" t="s">
        <v>83</v>
      </c>
    </row>
    <row r="2" spans="1:8" ht="25.5" x14ac:dyDescent="0.2">
      <c r="A2" s="245">
        <v>1</v>
      </c>
      <c r="B2" s="436" t="s">
        <v>301</v>
      </c>
      <c r="C2" s="68"/>
      <c r="D2" s="516">
        <v>1</v>
      </c>
      <c r="E2" s="70" t="s">
        <v>86</v>
      </c>
      <c r="F2" s="118" t="s">
        <v>305</v>
      </c>
      <c r="G2" s="54" t="s">
        <v>155</v>
      </c>
      <c r="H2" s="55">
        <v>0.6</v>
      </c>
    </row>
    <row r="3" spans="1:8" ht="15" x14ac:dyDescent="0.2">
      <c r="A3" s="246">
        <v>2</v>
      </c>
      <c r="B3" s="437" t="s">
        <v>294</v>
      </c>
      <c r="C3" s="68"/>
      <c r="D3" s="517"/>
      <c r="E3" s="71" t="s">
        <v>88</v>
      </c>
      <c r="F3" s="119" t="s">
        <v>282</v>
      </c>
      <c r="G3" s="57" t="s">
        <v>155</v>
      </c>
      <c r="H3" s="58">
        <v>0.3</v>
      </c>
    </row>
    <row r="4" spans="1:8" ht="15.75" thickBot="1" x14ac:dyDescent="0.25">
      <c r="A4" s="246">
        <v>3</v>
      </c>
      <c r="B4" s="437" t="s">
        <v>300</v>
      </c>
      <c r="C4" s="68"/>
      <c r="D4" s="518"/>
      <c r="E4" s="72" t="s">
        <v>89</v>
      </c>
      <c r="F4" s="117" t="s">
        <v>159</v>
      </c>
      <c r="G4" s="60" t="s">
        <v>155</v>
      </c>
      <c r="H4" s="61">
        <v>0.1</v>
      </c>
    </row>
    <row r="5" spans="1:8" ht="15" x14ac:dyDescent="0.2">
      <c r="A5" s="246">
        <v>4</v>
      </c>
      <c r="B5" s="437" t="s">
        <v>299</v>
      </c>
      <c r="C5" s="68"/>
      <c r="D5" s="516">
        <v>2</v>
      </c>
      <c r="E5" s="70" t="s">
        <v>87</v>
      </c>
      <c r="F5" s="447" t="s">
        <v>293</v>
      </c>
      <c r="G5" s="54" t="s">
        <v>155</v>
      </c>
      <c r="H5" s="55">
        <v>0.6</v>
      </c>
    </row>
    <row r="6" spans="1:8" ht="15" x14ac:dyDescent="0.2">
      <c r="A6" s="246">
        <v>5</v>
      </c>
      <c r="B6" s="437" t="s">
        <v>302</v>
      </c>
      <c r="C6" s="68"/>
      <c r="D6" s="517"/>
      <c r="E6" s="71" t="s">
        <v>90</v>
      </c>
      <c r="F6" s="119" t="s">
        <v>154</v>
      </c>
      <c r="G6" s="57" t="s">
        <v>155</v>
      </c>
      <c r="H6" s="316">
        <v>0.3</v>
      </c>
    </row>
    <row r="7" spans="1:8" ht="26.25" thickBot="1" x14ac:dyDescent="0.25">
      <c r="A7" s="246">
        <v>6</v>
      </c>
      <c r="B7" s="437" t="s">
        <v>448</v>
      </c>
      <c r="C7" s="68"/>
      <c r="D7" s="518"/>
      <c r="E7" s="71" t="s">
        <v>91</v>
      </c>
      <c r="F7" s="117" t="s">
        <v>206</v>
      </c>
      <c r="G7" s="120" t="s">
        <v>155</v>
      </c>
      <c r="H7" s="316">
        <v>0.1</v>
      </c>
    </row>
    <row r="8" spans="1:8" ht="25.5" x14ac:dyDescent="0.2">
      <c r="A8" s="246">
        <v>7</v>
      </c>
      <c r="B8" s="437" t="s">
        <v>303</v>
      </c>
      <c r="C8" s="68"/>
      <c r="D8" s="516">
        <v>3</v>
      </c>
      <c r="E8" s="70" t="s">
        <v>92</v>
      </c>
      <c r="F8" s="447" t="s">
        <v>156</v>
      </c>
      <c r="G8" s="62"/>
      <c r="H8" s="55">
        <v>0.6</v>
      </c>
    </row>
    <row r="9" spans="1:8" ht="15.75" thickBot="1" x14ac:dyDescent="0.25">
      <c r="A9" s="448">
        <v>8</v>
      </c>
      <c r="B9" s="449" t="s">
        <v>304</v>
      </c>
      <c r="C9" s="68"/>
      <c r="D9" s="517"/>
      <c r="E9" s="71" t="s">
        <v>93</v>
      </c>
      <c r="F9" s="119" t="s">
        <v>157</v>
      </c>
      <c r="G9" s="57" t="s">
        <v>155</v>
      </c>
      <c r="H9" s="58">
        <v>0.3</v>
      </c>
    </row>
    <row r="10" spans="1:8" ht="15.75" thickBot="1" x14ac:dyDescent="0.25">
      <c r="C10" s="68"/>
      <c r="D10" s="518"/>
      <c r="E10" s="71" t="s">
        <v>94</v>
      </c>
      <c r="F10" s="119" t="s">
        <v>283</v>
      </c>
      <c r="G10" s="57" t="s">
        <v>155</v>
      </c>
      <c r="H10" s="58">
        <v>0.1</v>
      </c>
    </row>
    <row r="11" spans="1:8" ht="15" x14ac:dyDescent="0.2">
      <c r="C11" s="68"/>
      <c r="D11" s="516">
        <v>4</v>
      </c>
      <c r="E11" s="70" t="s">
        <v>95</v>
      </c>
      <c r="F11" s="118" t="s">
        <v>295</v>
      </c>
      <c r="G11" s="62" t="s">
        <v>155</v>
      </c>
      <c r="H11" s="55">
        <v>0.6</v>
      </c>
    </row>
    <row r="12" spans="1:8" ht="15" x14ac:dyDescent="0.2">
      <c r="C12" s="68"/>
      <c r="D12" s="517"/>
      <c r="E12" s="71" t="s">
        <v>96</v>
      </c>
      <c r="F12" s="119" t="s">
        <v>296</v>
      </c>
      <c r="G12" s="57" t="s">
        <v>155</v>
      </c>
      <c r="H12" s="58">
        <v>0.15</v>
      </c>
    </row>
    <row r="13" spans="1:8" ht="15" x14ac:dyDescent="0.2">
      <c r="C13" s="68"/>
      <c r="D13" s="517"/>
      <c r="E13" s="71" t="s">
        <v>97</v>
      </c>
      <c r="F13" s="119" t="s">
        <v>297</v>
      </c>
      <c r="G13" s="120" t="s">
        <v>155</v>
      </c>
      <c r="H13" s="58">
        <v>0.15</v>
      </c>
    </row>
    <row r="14" spans="1:8" ht="15.75" thickBot="1" x14ac:dyDescent="0.25">
      <c r="C14" s="69"/>
      <c r="D14" s="518"/>
      <c r="E14" s="71" t="s">
        <v>207</v>
      </c>
      <c r="F14" s="119" t="s">
        <v>298</v>
      </c>
      <c r="G14" s="57" t="s">
        <v>155</v>
      </c>
      <c r="H14" s="58">
        <v>0.1</v>
      </c>
    </row>
    <row r="15" spans="1:8" ht="25.5" x14ac:dyDescent="0.2">
      <c r="C15" s="68"/>
      <c r="D15" s="516">
        <v>5</v>
      </c>
      <c r="E15" s="70" t="s">
        <v>98</v>
      </c>
      <c r="F15" s="118" t="s">
        <v>284</v>
      </c>
      <c r="G15" s="62" t="s">
        <v>155</v>
      </c>
      <c r="H15" s="55">
        <v>0.6</v>
      </c>
    </row>
    <row r="16" spans="1:8" ht="15" x14ac:dyDescent="0.2">
      <c r="C16" s="68"/>
      <c r="D16" s="517"/>
      <c r="E16" s="71" t="s">
        <v>99</v>
      </c>
      <c r="F16" s="119" t="s">
        <v>285</v>
      </c>
      <c r="G16" s="57" t="s">
        <v>155</v>
      </c>
      <c r="H16" s="58">
        <v>0.3</v>
      </c>
    </row>
    <row r="17" spans="3:8" ht="15.75" thickBot="1" x14ac:dyDescent="0.25">
      <c r="C17" s="68"/>
      <c r="D17" s="518"/>
      <c r="E17" s="71" t="s">
        <v>100</v>
      </c>
      <c r="F17" s="119" t="s">
        <v>286</v>
      </c>
      <c r="G17" s="57" t="s">
        <v>155</v>
      </c>
      <c r="H17" s="58">
        <v>0.1</v>
      </c>
    </row>
    <row r="18" spans="3:8" ht="15" x14ac:dyDescent="0.2">
      <c r="C18" s="68"/>
      <c r="D18" s="519">
        <v>6</v>
      </c>
      <c r="E18" s="70" t="s">
        <v>101</v>
      </c>
      <c r="F18" s="118" t="s">
        <v>158</v>
      </c>
      <c r="G18" s="54" t="s">
        <v>155</v>
      </c>
      <c r="H18" s="55">
        <v>0.69</v>
      </c>
    </row>
    <row r="19" spans="3:8" ht="15" x14ac:dyDescent="0.2">
      <c r="C19" s="68"/>
      <c r="D19" s="520"/>
      <c r="E19" s="247" t="s">
        <v>102</v>
      </c>
      <c r="F19" s="317" t="s">
        <v>209</v>
      </c>
      <c r="G19" s="248" t="s">
        <v>155</v>
      </c>
      <c r="H19" s="249">
        <v>0.3</v>
      </c>
    </row>
    <row r="20" spans="3:8" ht="15.75" thickBot="1" x14ac:dyDescent="0.25">
      <c r="C20" s="68"/>
      <c r="D20" s="521"/>
      <c r="E20" s="71" t="s">
        <v>153</v>
      </c>
      <c r="F20" s="119" t="s">
        <v>208</v>
      </c>
      <c r="G20" s="57" t="s">
        <v>155</v>
      </c>
      <c r="H20" s="58">
        <v>0.01</v>
      </c>
    </row>
    <row r="21" spans="3:8" ht="15" x14ac:dyDescent="0.2">
      <c r="C21" s="69"/>
      <c r="D21" s="516">
        <v>7</v>
      </c>
      <c r="E21" s="70" t="s">
        <v>103</v>
      </c>
      <c r="F21" s="118" t="s">
        <v>290</v>
      </c>
      <c r="G21" s="62" t="s">
        <v>155</v>
      </c>
      <c r="H21" s="55">
        <v>0.6</v>
      </c>
    </row>
    <row r="22" spans="3:8" ht="15" x14ac:dyDescent="0.2">
      <c r="C22" s="69"/>
      <c r="D22" s="517"/>
      <c r="E22" s="71" t="s">
        <v>104</v>
      </c>
      <c r="F22" s="119" t="s">
        <v>291</v>
      </c>
      <c r="G22" s="57" t="s">
        <v>155</v>
      </c>
      <c r="H22" s="58">
        <v>0.3</v>
      </c>
    </row>
    <row r="23" spans="3:8" ht="15.75" thickBot="1" x14ac:dyDescent="0.25">
      <c r="C23" s="69"/>
      <c r="D23" s="518"/>
      <c r="E23" s="72" t="s">
        <v>105</v>
      </c>
      <c r="F23" s="59" t="s">
        <v>292</v>
      </c>
      <c r="G23" s="60" t="s">
        <v>155</v>
      </c>
      <c r="H23" s="61">
        <v>0.1</v>
      </c>
    </row>
    <row r="24" spans="3:8" ht="15" x14ac:dyDescent="0.2">
      <c r="D24" s="516">
        <v>8</v>
      </c>
      <c r="E24" s="70" t="s">
        <v>210</v>
      </c>
      <c r="F24" s="53" t="s">
        <v>287</v>
      </c>
      <c r="G24" s="62" t="s">
        <v>406</v>
      </c>
      <c r="H24" s="55">
        <v>0.6</v>
      </c>
    </row>
    <row r="25" spans="3:8" ht="15" x14ac:dyDescent="0.2">
      <c r="D25" s="517"/>
      <c r="E25" s="71" t="s">
        <v>211</v>
      </c>
      <c r="F25" s="56" t="s">
        <v>288</v>
      </c>
      <c r="G25" s="57" t="s">
        <v>155</v>
      </c>
      <c r="H25" s="58">
        <v>0.3</v>
      </c>
    </row>
    <row r="26" spans="3:8" ht="15.75" thickBot="1" x14ac:dyDescent="0.25">
      <c r="D26" s="518"/>
      <c r="E26" s="72" t="s">
        <v>212</v>
      </c>
      <c r="F26" s="59" t="s">
        <v>289</v>
      </c>
      <c r="G26" s="60" t="s">
        <v>155</v>
      </c>
      <c r="H26" s="61">
        <v>0.1</v>
      </c>
    </row>
  </sheetData>
  <mergeCells count="8">
    <mergeCell ref="D24:D26"/>
    <mergeCell ref="D2:D4"/>
    <mergeCell ref="D21:D23"/>
    <mergeCell ref="D5:D7"/>
    <mergeCell ref="D8:D10"/>
    <mergeCell ref="D11:D14"/>
    <mergeCell ref="D15:D17"/>
    <mergeCell ref="D18:D2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70" zoomScaleNormal="70" workbookViewId="0">
      <selection activeCell="C19" sqref="C19"/>
    </sheetView>
  </sheetViews>
  <sheetFormatPr baseColWidth="10" defaultColWidth="13" defaultRowHeight="12.75" x14ac:dyDescent="0.2"/>
  <cols>
    <col min="1" max="1" width="17.85546875" style="4" customWidth="1"/>
    <col min="2" max="2" width="24.28515625" style="4" customWidth="1"/>
    <col min="3" max="3" width="24.42578125" style="4" customWidth="1"/>
    <col min="4" max="5" width="16.28515625" style="4" customWidth="1"/>
    <col min="6" max="7" width="16.5703125" style="4" customWidth="1"/>
    <col min="8" max="8" width="36.140625" style="4" customWidth="1"/>
    <col min="9" max="9" width="53.42578125" style="4" customWidth="1"/>
    <col min="10" max="16384" width="13" style="4"/>
  </cols>
  <sheetData>
    <row r="1" spans="1:9" ht="18.75" x14ac:dyDescent="0.2">
      <c r="A1" s="922"/>
      <c r="B1" s="922"/>
      <c r="C1" s="922"/>
      <c r="D1" s="922"/>
      <c r="E1" s="922"/>
      <c r="F1" s="922"/>
      <c r="G1" s="922"/>
      <c r="H1" s="922"/>
    </row>
    <row r="2" spans="1:9" ht="27.75" customHeight="1" thickBot="1" x14ac:dyDescent="0.25"/>
    <row r="3" spans="1:9" ht="20.25" customHeight="1" x14ac:dyDescent="0.2">
      <c r="A3" s="925" t="s">
        <v>69</v>
      </c>
      <c r="B3" s="927" t="s">
        <v>0</v>
      </c>
      <c r="C3" s="920" t="s">
        <v>121</v>
      </c>
      <c r="D3" s="923" t="s">
        <v>450</v>
      </c>
      <c r="E3" s="920" t="s">
        <v>451</v>
      </c>
      <c r="F3" s="920" t="s">
        <v>452</v>
      </c>
      <c r="G3" s="920" t="s">
        <v>453</v>
      </c>
      <c r="H3" s="920" t="s">
        <v>458</v>
      </c>
      <c r="I3" s="918" t="s">
        <v>457</v>
      </c>
    </row>
    <row r="4" spans="1:9" ht="36.75" customHeight="1" x14ac:dyDescent="0.2">
      <c r="A4" s="926" t="s">
        <v>3</v>
      </c>
      <c r="B4" s="928"/>
      <c r="C4" s="924"/>
      <c r="D4" s="924"/>
      <c r="E4" s="921"/>
      <c r="F4" s="921"/>
      <c r="G4" s="921"/>
      <c r="H4" s="921"/>
      <c r="I4" s="919"/>
    </row>
    <row r="5" spans="1:9" ht="63" customHeight="1" x14ac:dyDescent="0.2">
      <c r="A5" s="116">
        <v>1</v>
      </c>
      <c r="B5" s="115" t="str">
        <f>PROPONENTES!B2</f>
        <v>CONSORCIO CONCESION VIAL NORTE SANTANDER</v>
      </c>
      <c r="C5" s="94" t="str">
        <f>'P1'!P24</f>
        <v>HABIL</v>
      </c>
      <c r="D5" s="94" t="str">
        <f>'P1'!$J$16</f>
        <v>HABIL</v>
      </c>
      <c r="E5" s="94" t="str">
        <f>'P1'!$P$24</f>
        <v>HABIL</v>
      </c>
      <c r="F5" s="94" t="str">
        <f>'P1'!S31</f>
        <v>HABIL</v>
      </c>
      <c r="G5" s="94" t="str">
        <f>'P1'!$X$44</f>
        <v>CUMPLE</v>
      </c>
      <c r="H5" s="440">
        <v>900</v>
      </c>
      <c r="I5" s="440" t="s">
        <v>461</v>
      </c>
    </row>
    <row r="6" spans="1:9" ht="38.25" x14ac:dyDescent="0.2">
      <c r="A6" s="116">
        <v>2</v>
      </c>
      <c r="B6" s="115" t="str">
        <f>PROPONENTES!B3</f>
        <v>CONSORCIO EPSILON CUCUTA</v>
      </c>
      <c r="C6" s="94" t="str">
        <f>'P2'!P24</f>
        <v>HABIL</v>
      </c>
      <c r="D6" s="94" t="str">
        <f>'P2'!$J$16</f>
        <v>HABIL</v>
      </c>
      <c r="E6" s="94" t="str">
        <f>'P2'!$P$24</f>
        <v>HABIL</v>
      </c>
      <c r="F6" s="94" t="str">
        <f>'P2'!S31</f>
        <v>HABIL</v>
      </c>
      <c r="G6" s="94" t="str">
        <f>'P2'!$X$44</f>
        <v>CUMPLE</v>
      </c>
      <c r="H6" s="441">
        <v>800</v>
      </c>
      <c r="I6" s="438" t="s">
        <v>456</v>
      </c>
    </row>
    <row r="7" spans="1:9" ht="24" x14ac:dyDescent="0.2">
      <c r="A7" s="116">
        <v>3</v>
      </c>
      <c r="B7" s="115" t="str">
        <f>PROPONENTES!B4</f>
        <v>CONSORCIO INTERCON-APM</v>
      </c>
      <c r="C7" s="94" t="str">
        <f>'P3'!N6</f>
        <v>HABIL</v>
      </c>
      <c r="D7" s="94" t="str">
        <f>'P3'!$J$16</f>
        <v>HABIL</v>
      </c>
      <c r="E7" s="94" t="str">
        <f>'P3'!P23</f>
        <v>HABIL</v>
      </c>
      <c r="F7" s="94" t="str">
        <f>'P3'!S30</f>
        <v>HABIL</v>
      </c>
      <c r="G7" s="94" t="str">
        <f>'P3'!V41</f>
        <v>CUMPLE</v>
      </c>
      <c r="H7" s="441" t="s">
        <v>454</v>
      </c>
      <c r="I7" s="446"/>
    </row>
    <row r="8" spans="1:9" ht="15.75" x14ac:dyDescent="0.2">
      <c r="A8" s="116">
        <v>4</v>
      </c>
      <c r="B8" s="115" t="str">
        <f>PROPONENTES!B5</f>
        <v>CONSORCIO CSLVC</v>
      </c>
      <c r="C8" s="94" t="str">
        <f>'P4'!N6</f>
        <v>HABIL</v>
      </c>
      <c r="D8" s="94" t="str">
        <f>'P4'!$J$16</f>
        <v>HABIL</v>
      </c>
      <c r="E8" s="94" t="str">
        <f>'P4'!$P$24</f>
        <v>HABIL</v>
      </c>
      <c r="F8" s="94" t="str">
        <f>'P4'!S32</f>
        <v>HABIL</v>
      </c>
      <c r="G8" s="94" t="str">
        <f>'P4'!$X$45</f>
        <v>CUMPLE</v>
      </c>
      <c r="H8" s="441" t="s">
        <v>454</v>
      </c>
      <c r="I8" s="446"/>
    </row>
    <row r="9" spans="1:9" ht="104.25" customHeight="1" x14ac:dyDescent="0.2">
      <c r="A9" s="116">
        <v>5</v>
      </c>
      <c r="B9" s="115" t="str">
        <f>PROPONENTES!B6</f>
        <v>CONSORCIO INTERCONCESIONES 2014</v>
      </c>
      <c r="C9" s="94" t="str">
        <f>'P5'!N6</f>
        <v>HABIL</v>
      </c>
      <c r="D9" s="94" t="str">
        <f>'P5'!$J$16</f>
        <v>HABIL</v>
      </c>
      <c r="E9" s="94" t="str">
        <f>'P5'!$P$25</f>
        <v>HABIL</v>
      </c>
      <c r="F9" s="94" t="str">
        <f>'P5'!S33</f>
        <v>HABIL</v>
      </c>
      <c r="G9" s="94" t="str">
        <f>'P5'!$X$44</f>
        <v>CUMPLE</v>
      </c>
      <c r="H9" s="469">
        <f>'P5'!U34</f>
        <v>0</v>
      </c>
      <c r="I9" s="470" t="s">
        <v>462</v>
      </c>
    </row>
    <row r="10" spans="1:9" ht="36" x14ac:dyDescent="0.2">
      <c r="A10" s="116">
        <v>6</v>
      </c>
      <c r="B10" s="115" t="str">
        <f>PROPONENTES!B7</f>
        <v>CONSORCIO INTERVENTORES NORTE DE SANTANDER</v>
      </c>
      <c r="C10" s="94" t="str">
        <f>'P6'!N6</f>
        <v>HABIL</v>
      </c>
      <c r="D10" s="94" t="str">
        <f>'P6'!$J$16</f>
        <v>HABIL</v>
      </c>
      <c r="E10" s="94" t="str">
        <f>'P6'!$P$24</f>
        <v>HABIL</v>
      </c>
      <c r="F10" s="94" t="str">
        <f>'P6'!S32</f>
        <v>HABIL</v>
      </c>
      <c r="G10" s="94" t="str">
        <f>'P6'!X45</f>
        <v>CUMPLE</v>
      </c>
      <c r="H10" s="442" t="s">
        <v>454</v>
      </c>
      <c r="I10" s="446"/>
    </row>
    <row r="11" spans="1:9" ht="25.5" x14ac:dyDescent="0.2">
      <c r="A11" s="116">
        <v>7</v>
      </c>
      <c r="B11" s="115" t="str">
        <f>PROPONENTES!B8</f>
        <v>CONSORCIO NORTE DE COLOMBIA</v>
      </c>
      <c r="C11" s="94" t="str">
        <f>'P7'!N6</f>
        <v>HABIL</v>
      </c>
      <c r="D11" s="94" t="str">
        <f>'P7'!$J$16</f>
        <v>HABIL</v>
      </c>
      <c r="E11" s="94" t="str">
        <f>'P7'!$P$24</f>
        <v>NO HABIL</v>
      </c>
      <c r="F11" s="472" t="str">
        <f>'P7'!S31</f>
        <v xml:space="preserve">NO HABIL </v>
      </c>
      <c r="G11" s="472" t="str">
        <f>'P7'!X43</f>
        <v>CUMPLE</v>
      </c>
      <c r="H11" s="471" t="str">
        <f>'P7'!R26</f>
        <v>NO CUMPLE CON LA DEFINICIÓN DE INFRAESTRUCTURA DE TRANSPORTE VIAL</v>
      </c>
      <c r="I11" s="470" t="s">
        <v>463</v>
      </c>
    </row>
    <row r="12" spans="1:9" ht="16.5" thickBot="1" x14ac:dyDescent="0.25">
      <c r="A12" s="443">
        <v>8</v>
      </c>
      <c r="B12" s="444" t="str">
        <f>PROPONENTES!B9</f>
        <v>CONSORCIO VIAL NS</v>
      </c>
      <c r="C12" s="445" t="str">
        <f>'P8'!N6</f>
        <v>HABIL</v>
      </c>
      <c r="D12" s="445" t="str">
        <f>'P8'!$J$16</f>
        <v>HABIL</v>
      </c>
      <c r="E12" s="445" t="str">
        <f>'P8'!$P$24</f>
        <v>HABIL</v>
      </c>
      <c r="F12" s="445" t="str">
        <f>'P8'!S31</f>
        <v>HABIL</v>
      </c>
      <c r="G12" s="445" t="str">
        <f>'P8'!X42</f>
        <v>CUMPLE</v>
      </c>
      <c r="H12" s="468" t="s">
        <v>454</v>
      </c>
      <c r="I12" s="467"/>
    </row>
    <row r="16" spans="1:9" ht="13.5" thickBot="1" x14ac:dyDescent="0.25">
      <c r="A16" s="451" t="s">
        <v>459</v>
      </c>
    </row>
    <row r="17" spans="1:3" ht="26.25" thickBot="1" x14ac:dyDescent="0.25">
      <c r="A17" s="458" t="str">
        <f>A3</f>
        <v>NUMERO PROPUESTA</v>
      </c>
      <c r="B17" s="459" t="str">
        <f>B3</f>
        <v>PROPONENTE</v>
      </c>
      <c r="C17" s="460" t="s">
        <v>460</v>
      </c>
    </row>
    <row r="18" spans="1:3" ht="38.25" x14ac:dyDescent="0.2">
      <c r="A18" s="461">
        <f>A5</f>
        <v>1</v>
      </c>
      <c r="B18" s="456" t="str">
        <f>B5</f>
        <v>CONSORCIO CONCESION VIAL NORTE SANTANDER</v>
      </c>
      <c r="C18" s="457">
        <f>'P1 PUNTAJE'!D4</f>
        <v>900</v>
      </c>
    </row>
    <row r="19" spans="1:3" ht="25.5" x14ac:dyDescent="0.2">
      <c r="A19" s="462">
        <f t="shared" ref="A19:B19" si="0">A6</f>
        <v>2</v>
      </c>
      <c r="B19" s="452" t="str">
        <f t="shared" si="0"/>
        <v>CONSORCIO EPSILON CUCUTA</v>
      </c>
      <c r="C19" s="453">
        <f>'P2 puntaje'!D4</f>
        <v>800</v>
      </c>
    </row>
    <row r="20" spans="1:3" ht="25.5" x14ac:dyDescent="0.2">
      <c r="A20" s="462">
        <f t="shared" ref="A20:B20" si="1">A7</f>
        <v>3</v>
      </c>
      <c r="B20" s="452" t="str">
        <f t="shared" si="1"/>
        <v>CONSORCIO INTERCON-APM</v>
      </c>
      <c r="C20" s="453">
        <f>'P3 PUNTAJE '!D5</f>
        <v>900</v>
      </c>
    </row>
    <row r="21" spans="1:3" x14ac:dyDescent="0.2">
      <c r="A21" s="462">
        <f t="shared" ref="A21:B21" si="2">A8</f>
        <v>4</v>
      </c>
      <c r="B21" s="452" t="str">
        <f t="shared" si="2"/>
        <v>CONSORCIO CSLVC</v>
      </c>
      <c r="C21" s="453">
        <f>'P4 PUNTAJE'!D4</f>
        <v>900</v>
      </c>
    </row>
    <row r="22" spans="1:3" ht="38.25" x14ac:dyDescent="0.2">
      <c r="A22" s="462">
        <f t="shared" ref="A22:B22" si="3">A9</f>
        <v>5</v>
      </c>
      <c r="B22" s="452" t="str">
        <f t="shared" si="3"/>
        <v>CONSORCIO INTERCONCESIONES 2014</v>
      </c>
      <c r="C22" s="466">
        <f>'P5 PUNTAJE'!D4</f>
        <v>900</v>
      </c>
    </row>
    <row r="23" spans="1:3" ht="38.25" x14ac:dyDescent="0.2">
      <c r="A23" s="462">
        <f t="shared" ref="A23:B23" si="4">A10</f>
        <v>6</v>
      </c>
      <c r="B23" s="452" t="str">
        <f t="shared" si="4"/>
        <v>CONSORCIO INTERVENTORES NORTE DE SANTANDER</v>
      </c>
      <c r="C23" s="466">
        <f>'P6 PUNTAJE'!D4</f>
        <v>900</v>
      </c>
    </row>
    <row r="24" spans="1:3" ht="25.5" x14ac:dyDescent="0.2">
      <c r="A24" s="462">
        <f t="shared" ref="A24:B24" si="5">A11</f>
        <v>7</v>
      </c>
      <c r="B24" s="452" t="str">
        <f t="shared" si="5"/>
        <v>CONSORCIO NORTE DE COLOMBIA</v>
      </c>
      <c r="C24" s="466" t="str">
        <f>'P7 PUNTAJE'!D4</f>
        <v>NO SE AVALA EL SUBSANE</v>
      </c>
    </row>
    <row r="25" spans="1:3" ht="13.5" thickBot="1" x14ac:dyDescent="0.25">
      <c r="A25" s="463">
        <f t="shared" ref="A25:B25" si="6">A12</f>
        <v>8</v>
      </c>
      <c r="B25" s="454" t="str">
        <f t="shared" si="6"/>
        <v>CONSORCIO VIAL NS</v>
      </c>
      <c r="C25" s="455">
        <f>'P8 PUNTAJE '!D4</f>
        <v>900</v>
      </c>
    </row>
    <row r="26" spans="1:3" x14ac:dyDescent="0.2">
      <c r="A26" s="450"/>
      <c r="B26" s="450"/>
    </row>
    <row r="27" spans="1:3" x14ac:dyDescent="0.2">
      <c r="A27" s="450"/>
      <c r="B27" s="450"/>
    </row>
    <row r="28" spans="1:3" x14ac:dyDescent="0.2">
      <c r="A28" s="450"/>
      <c r="B28" s="450"/>
    </row>
    <row r="29" spans="1:3" x14ac:dyDescent="0.2">
      <c r="A29" s="450"/>
      <c r="B29" s="450"/>
    </row>
    <row r="30" spans="1:3" x14ac:dyDescent="0.2">
      <c r="A30" s="450"/>
      <c r="B30" s="450"/>
    </row>
  </sheetData>
  <sheetProtection selectLockedCells="1"/>
  <mergeCells count="10">
    <mergeCell ref="I3:I4"/>
    <mergeCell ref="H3:H4"/>
    <mergeCell ref="A1:H1"/>
    <mergeCell ref="D3:D4"/>
    <mergeCell ref="A3:A4"/>
    <mergeCell ref="F3:F4"/>
    <mergeCell ref="C3:C4"/>
    <mergeCell ref="E3:E4"/>
    <mergeCell ref="B3:B4"/>
    <mergeCell ref="G3:G4"/>
  </mergeCells>
  <phoneticPr fontId="2" type="noConversion"/>
  <conditionalFormatting sqref="H6:H11">
    <cfRule type="cellIs" dxfId="7" priority="269" stopIfTrue="1" operator="equal">
      <formula>"NO ADMISIBLE"</formula>
    </cfRule>
    <cfRule type="cellIs" dxfId="6" priority="270" stopIfTrue="1" operator="equal">
      <formula>"ADMISIBLE"</formula>
    </cfRule>
  </conditionalFormatting>
  <conditionalFormatting sqref="A3:A4 D3:E4 F3 B3:C3 H3">
    <cfRule type="cellIs" dxfId="5" priority="274" stopIfTrue="1" operator="greaterThan">
      <formula>0</formula>
    </cfRule>
  </conditionalFormatting>
  <conditionalFormatting sqref="H6:H11">
    <cfRule type="cellIs" dxfId="4" priority="277" stopIfTrue="1" operator="equal">
      <formula>"NO ADMISIBLE"</formula>
    </cfRule>
    <cfRule type="cellIs" dxfId="3" priority="278" stopIfTrue="1" operator="equal">
      <formula>"ADMISIBLE"</formula>
    </cfRule>
  </conditionalFormatting>
  <conditionalFormatting sqref="H6:H11">
    <cfRule type="cellIs" dxfId="2" priority="279" stopIfTrue="1" operator="equal">
      <formula>"PENDIENTE"</formula>
    </cfRule>
  </conditionalFormatting>
  <conditionalFormatting sqref="G3">
    <cfRule type="cellIs" dxfId="1" priority="2" stopIfTrue="1" operator="greaterThan">
      <formula>0</formula>
    </cfRule>
  </conditionalFormatting>
  <conditionalFormatting sqref="I3">
    <cfRule type="cellIs" dxfId="0" priority="1" stopIfTrue="1" operator="greaterThan">
      <formula>0</formula>
    </cfRule>
  </conditionalFormatting>
  <printOptions horizontalCentered="1"/>
  <pageMargins left="0.39370078740157483" right="0.39370078740157483" top="0.77" bottom="0.62992125984251968" header="0" footer="0"/>
  <pageSetup scale="5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7:G32"/>
  <sheetViews>
    <sheetView topLeftCell="A6" workbookViewId="0">
      <selection activeCell="J24" sqref="J24"/>
    </sheetView>
  </sheetViews>
  <sheetFormatPr baseColWidth="10" defaultRowHeight="12.75" x14ac:dyDescent="0.2"/>
  <sheetData>
    <row r="7" spans="5:7" x14ac:dyDescent="0.2">
      <c r="E7" t="s">
        <v>252</v>
      </c>
    </row>
    <row r="8" spans="5:7" ht="25.5" x14ac:dyDescent="0.2">
      <c r="E8" s="332" t="s">
        <v>253</v>
      </c>
      <c r="F8" s="332" t="s">
        <v>254</v>
      </c>
      <c r="G8" s="332" t="s">
        <v>255</v>
      </c>
    </row>
    <row r="9" spans="5:7" x14ac:dyDescent="0.2">
      <c r="E9" s="331">
        <v>1990</v>
      </c>
      <c r="F9" s="333">
        <v>41025</v>
      </c>
      <c r="G9" s="333">
        <v>3798</v>
      </c>
    </row>
    <row r="10" spans="5:7" x14ac:dyDescent="0.2">
      <c r="E10" s="331">
        <v>1991</v>
      </c>
      <c r="F10" s="333">
        <v>51720</v>
      </c>
      <c r="G10" s="333">
        <v>4787</v>
      </c>
    </row>
    <row r="11" spans="5:7" x14ac:dyDescent="0.2">
      <c r="E11" s="331">
        <v>1992</v>
      </c>
      <c r="F11" s="333">
        <v>65190</v>
      </c>
      <c r="G11" s="333">
        <v>6033</v>
      </c>
    </row>
    <row r="12" spans="5:7" x14ac:dyDescent="0.2">
      <c r="E12" s="331">
        <v>1993</v>
      </c>
      <c r="F12" s="333">
        <v>81510</v>
      </c>
      <c r="G12" s="333">
        <v>7542</v>
      </c>
    </row>
    <row r="13" spans="5:7" x14ac:dyDescent="0.2">
      <c r="E13" s="331">
        <v>1994</v>
      </c>
      <c r="F13" s="333">
        <v>98700</v>
      </c>
      <c r="G13" s="333">
        <v>8705</v>
      </c>
    </row>
    <row r="14" spans="5:7" x14ac:dyDescent="0.2">
      <c r="E14" s="331">
        <v>1995</v>
      </c>
      <c r="F14" s="333">
        <v>118933.5</v>
      </c>
      <c r="G14" s="333">
        <v>10815</v>
      </c>
    </row>
    <row r="15" spans="5:7" x14ac:dyDescent="0.2">
      <c r="E15" s="331">
        <v>1996</v>
      </c>
      <c r="F15" s="333">
        <v>142125</v>
      </c>
      <c r="G15" s="333">
        <v>13567</v>
      </c>
    </row>
    <row r="16" spans="5:7" x14ac:dyDescent="0.2">
      <c r="E16" s="331">
        <v>1997</v>
      </c>
      <c r="F16" s="333">
        <v>172005</v>
      </c>
      <c r="G16" s="333">
        <v>17250</v>
      </c>
    </row>
    <row r="17" spans="5:7" x14ac:dyDescent="0.2">
      <c r="E17" s="331">
        <v>1998</v>
      </c>
      <c r="F17" s="333">
        <v>203825</v>
      </c>
      <c r="G17" s="333">
        <v>20700</v>
      </c>
    </row>
    <row r="18" spans="5:7" x14ac:dyDescent="0.2">
      <c r="E18" s="331">
        <v>1999</v>
      </c>
      <c r="F18" s="333">
        <v>236438</v>
      </c>
      <c r="G18" s="333">
        <v>24012</v>
      </c>
    </row>
    <row r="19" spans="5:7" x14ac:dyDescent="0.2">
      <c r="E19" s="331">
        <v>2000</v>
      </c>
      <c r="F19" s="333">
        <v>260100</v>
      </c>
      <c r="G19" s="333">
        <v>26413</v>
      </c>
    </row>
    <row r="20" spans="5:7" x14ac:dyDescent="0.2">
      <c r="E20" s="331">
        <v>2001</v>
      </c>
      <c r="F20" s="333">
        <v>286000</v>
      </c>
      <c r="G20" s="333">
        <v>30000</v>
      </c>
    </row>
    <row r="21" spans="5:7" x14ac:dyDescent="0.2">
      <c r="E21" s="331">
        <v>2002</v>
      </c>
      <c r="F21" s="333">
        <v>309000</v>
      </c>
      <c r="G21" s="333">
        <v>34000</v>
      </c>
    </row>
    <row r="22" spans="5:7" x14ac:dyDescent="0.2">
      <c r="E22" s="331">
        <v>2003</v>
      </c>
      <c r="F22" s="333">
        <v>332000</v>
      </c>
      <c r="G22" s="333">
        <v>37500</v>
      </c>
    </row>
    <row r="23" spans="5:7" x14ac:dyDescent="0.2">
      <c r="E23" s="331">
        <v>2004</v>
      </c>
      <c r="F23" s="333">
        <v>358000</v>
      </c>
      <c r="G23" s="333">
        <v>41600</v>
      </c>
    </row>
    <row r="24" spans="5:7" x14ac:dyDescent="0.2">
      <c r="E24" s="331">
        <v>2005</v>
      </c>
      <c r="F24" s="333">
        <v>381500</v>
      </c>
      <c r="G24" s="333">
        <v>44500</v>
      </c>
    </row>
    <row r="25" spans="5:7" x14ac:dyDescent="0.2">
      <c r="E25" s="331">
        <v>2006</v>
      </c>
      <c r="F25" s="333">
        <v>408000</v>
      </c>
      <c r="G25" s="333">
        <v>47700</v>
      </c>
    </row>
    <row r="26" spans="5:7" x14ac:dyDescent="0.2">
      <c r="E26" s="331">
        <v>2007</v>
      </c>
      <c r="F26" s="333">
        <v>433700</v>
      </c>
      <c r="G26" s="333">
        <v>50800</v>
      </c>
    </row>
    <row r="27" spans="5:7" x14ac:dyDescent="0.2">
      <c r="E27" s="331">
        <v>2008</v>
      </c>
      <c r="F27" s="333">
        <v>461500</v>
      </c>
      <c r="G27" s="333">
        <v>55000</v>
      </c>
    </row>
    <row r="28" spans="5:7" x14ac:dyDescent="0.2">
      <c r="E28" s="331">
        <v>2009</v>
      </c>
      <c r="F28" s="333">
        <v>496900</v>
      </c>
      <c r="G28" s="333">
        <v>59300</v>
      </c>
    </row>
    <row r="29" spans="5:7" x14ac:dyDescent="0.2">
      <c r="E29" s="331">
        <v>2010</v>
      </c>
      <c r="F29" s="333">
        <v>515000</v>
      </c>
      <c r="G29" s="333">
        <v>61500</v>
      </c>
    </row>
    <row r="30" spans="5:7" x14ac:dyDescent="0.2">
      <c r="E30" s="331">
        <v>2011</v>
      </c>
      <c r="F30" s="333">
        <v>535600</v>
      </c>
      <c r="G30" s="333">
        <v>63600</v>
      </c>
    </row>
    <row r="31" spans="5:7" x14ac:dyDescent="0.2">
      <c r="E31" s="331">
        <v>2012</v>
      </c>
      <c r="F31" s="333">
        <v>566700</v>
      </c>
      <c r="G31" s="333">
        <v>67800</v>
      </c>
    </row>
    <row r="32" spans="5:7" x14ac:dyDescent="0.2">
      <c r="E32" s="331">
        <v>2013</v>
      </c>
      <c r="F32" s="333">
        <v>589500</v>
      </c>
      <c r="G32" s="333">
        <v>70500</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3"/>
  <sheetViews>
    <sheetView workbookViewId="0">
      <selection activeCell="E18" sqref="E18"/>
    </sheetView>
  </sheetViews>
  <sheetFormatPr baseColWidth="10" defaultRowHeight="12.75" x14ac:dyDescent="0.2"/>
  <cols>
    <col min="3" max="3" width="41.42578125" customWidth="1"/>
  </cols>
  <sheetData>
    <row r="2" spans="1:6" ht="15" x14ac:dyDescent="0.2">
      <c r="A2" s="219"/>
      <c r="B2" s="479"/>
      <c r="C2" s="480"/>
      <c r="D2" s="69"/>
      <c r="E2" s="69"/>
      <c r="F2" s="219"/>
    </row>
    <row r="3" spans="1:6" x14ac:dyDescent="0.2">
      <c r="A3" s="219"/>
      <c r="B3" s="481"/>
      <c r="C3" s="482"/>
      <c r="D3" s="483"/>
      <c r="E3" s="483"/>
      <c r="F3" s="219"/>
    </row>
    <row r="4" spans="1:6" x14ac:dyDescent="0.2">
      <c r="A4" s="219"/>
      <c r="B4" s="481"/>
      <c r="C4" s="482"/>
      <c r="D4" s="483"/>
      <c r="E4" s="483"/>
      <c r="F4" s="219"/>
    </row>
    <row r="5" spans="1:6" x14ac:dyDescent="0.2">
      <c r="A5" s="219"/>
      <c r="B5" s="481"/>
      <c r="C5" s="482"/>
      <c r="D5" s="483"/>
      <c r="E5" s="483"/>
      <c r="F5" s="219"/>
    </row>
    <row r="6" spans="1:6" x14ac:dyDescent="0.2">
      <c r="A6" s="219"/>
      <c r="B6" s="481"/>
      <c r="C6" s="482"/>
      <c r="D6" s="483"/>
      <c r="E6" s="483"/>
      <c r="F6" s="219"/>
    </row>
    <row r="7" spans="1:6" x14ac:dyDescent="0.2">
      <c r="A7" s="219"/>
      <c r="B7" s="481"/>
      <c r="C7" s="482"/>
      <c r="D7" s="483"/>
      <c r="E7" s="483"/>
      <c r="F7" s="219"/>
    </row>
    <row r="8" spans="1:6" x14ac:dyDescent="0.2">
      <c r="A8" s="219"/>
      <c r="B8" s="481"/>
      <c r="C8" s="482"/>
      <c r="D8" s="483"/>
      <c r="E8" s="483"/>
      <c r="F8" s="219"/>
    </row>
    <row r="9" spans="1:6" x14ac:dyDescent="0.2">
      <c r="A9" s="219"/>
      <c r="B9" s="481"/>
      <c r="C9" s="482"/>
      <c r="D9" s="483"/>
      <c r="E9" s="483"/>
      <c r="F9" s="219"/>
    </row>
    <row r="10" spans="1:6" x14ac:dyDescent="0.2">
      <c r="A10" s="219"/>
      <c r="B10" s="219"/>
      <c r="C10" s="219"/>
      <c r="D10" s="219"/>
      <c r="E10" s="219"/>
      <c r="F10" s="219"/>
    </row>
    <row r="11" spans="1:6" x14ac:dyDescent="0.2">
      <c r="A11" s="219"/>
      <c r="B11" s="244"/>
      <c r="C11" s="929"/>
      <c r="D11" s="929"/>
      <c r="E11" s="929"/>
      <c r="F11" s="219"/>
    </row>
    <row r="12" spans="1:6" x14ac:dyDescent="0.2">
      <c r="A12" s="219"/>
      <c r="B12" s="244"/>
      <c r="C12" s="929"/>
      <c r="D12" s="929"/>
      <c r="E12" s="929"/>
      <c r="F12" s="219"/>
    </row>
    <row r="13" spans="1:6" x14ac:dyDescent="0.2">
      <c r="A13" s="219"/>
      <c r="B13" s="219"/>
      <c r="C13" s="929"/>
      <c r="D13" s="929"/>
      <c r="E13" s="929"/>
      <c r="F13" s="219"/>
    </row>
  </sheetData>
  <mergeCells count="3">
    <mergeCell ref="C11:E11"/>
    <mergeCell ref="C12:E12"/>
    <mergeCell ref="C13: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6"/>
  <sheetViews>
    <sheetView view="pageBreakPreview" zoomScaleNormal="100" zoomScaleSheetLayoutView="100" workbookViewId="0">
      <selection activeCell="C26" sqref="C26"/>
    </sheetView>
  </sheetViews>
  <sheetFormatPr baseColWidth="10" defaultRowHeight="15" x14ac:dyDescent="0.25"/>
  <cols>
    <col min="1" max="1" width="4.5703125" style="262" customWidth="1"/>
    <col min="2" max="2" width="21.5703125" style="262" customWidth="1"/>
    <col min="3" max="3" width="46.7109375" style="262" customWidth="1"/>
    <col min="4" max="4" width="7.42578125" style="262" customWidth="1"/>
    <col min="5" max="16384" width="11.42578125" style="262"/>
  </cols>
  <sheetData>
    <row r="1" spans="2:5" ht="18.75" x14ac:dyDescent="0.3">
      <c r="B1" s="525" t="s">
        <v>278</v>
      </c>
      <c r="C1" s="525"/>
    </row>
    <row r="2" spans="2:5" x14ac:dyDescent="0.25">
      <c r="E2" s="262" t="s">
        <v>188</v>
      </c>
    </row>
    <row r="3" spans="2:5" x14ac:dyDescent="0.25">
      <c r="E3" s="262">
        <v>2013</v>
      </c>
    </row>
    <row r="4" spans="2:5" x14ac:dyDescent="0.25">
      <c r="B4" s="263"/>
      <c r="C4" s="264" t="s">
        <v>169</v>
      </c>
      <c r="E4" s="262">
        <v>589500</v>
      </c>
    </row>
    <row r="5" spans="2:5" ht="30" x14ac:dyDescent="0.25">
      <c r="B5" s="265" t="s">
        <v>170</v>
      </c>
      <c r="C5" s="266" t="s">
        <v>277</v>
      </c>
    </row>
    <row r="6" spans="2:5" x14ac:dyDescent="0.25">
      <c r="B6" s="265" t="s">
        <v>171</v>
      </c>
      <c r="C6" s="324" t="s">
        <v>279</v>
      </c>
    </row>
    <row r="7" spans="2:5" x14ac:dyDescent="0.25">
      <c r="B7" s="265" t="s">
        <v>172</v>
      </c>
      <c r="C7" s="267" t="s">
        <v>280</v>
      </c>
    </row>
    <row r="8" spans="2:5" x14ac:dyDescent="0.25">
      <c r="B8" s="265" t="s">
        <v>173</v>
      </c>
      <c r="C8" s="326">
        <v>82.04</v>
      </c>
    </row>
    <row r="9" spans="2:5" x14ac:dyDescent="0.25">
      <c r="B9" s="265" t="s">
        <v>174</v>
      </c>
      <c r="C9" s="268">
        <v>3956735872</v>
      </c>
      <c r="E9" s="276">
        <f>+C9/$E$4</f>
        <v>6712.0201391009332</v>
      </c>
    </row>
    <row r="10" spans="2:5" x14ac:dyDescent="0.25">
      <c r="B10" s="265" t="s">
        <v>175</v>
      </c>
      <c r="C10" s="269">
        <v>24</v>
      </c>
    </row>
    <row r="11" spans="2:5" x14ac:dyDescent="0.25">
      <c r="B11" s="526" t="s">
        <v>444</v>
      </c>
      <c r="C11" s="527"/>
    </row>
    <row r="12" spans="2:5" ht="30" x14ac:dyDescent="0.25">
      <c r="B12" s="265" t="s">
        <v>176</v>
      </c>
      <c r="C12" s="325" t="s">
        <v>177</v>
      </c>
    </row>
    <row r="13" spans="2:5" ht="75" x14ac:dyDescent="0.25">
      <c r="B13" s="265" t="s">
        <v>178</v>
      </c>
      <c r="C13" s="319" t="s">
        <v>179</v>
      </c>
    </row>
    <row r="14" spans="2:5" x14ac:dyDescent="0.25">
      <c r="B14" s="528" t="s">
        <v>180</v>
      </c>
      <c r="C14" s="270">
        <f>+C9*2</f>
        <v>7913471744</v>
      </c>
      <c r="E14" s="276">
        <f>+C14/$E$4</f>
        <v>13424.040278201866</v>
      </c>
    </row>
    <row r="15" spans="2:5" x14ac:dyDescent="0.25">
      <c r="B15" s="529"/>
      <c r="C15" s="271" t="s">
        <v>181</v>
      </c>
    </row>
    <row r="16" spans="2:5" x14ac:dyDescent="0.25">
      <c r="B16" s="529"/>
      <c r="C16" s="272">
        <f>+C14*0.6</f>
        <v>4748083046.3999996</v>
      </c>
      <c r="E16" s="276">
        <f>+C16/$E$4</f>
        <v>8054.4241669211187</v>
      </c>
    </row>
    <row r="17" spans="2:5" x14ac:dyDescent="0.25">
      <c r="B17" s="529"/>
      <c r="C17" s="273" t="s">
        <v>182</v>
      </c>
    </row>
    <row r="18" spans="2:5" x14ac:dyDescent="0.25">
      <c r="B18" s="529"/>
      <c r="C18" s="273">
        <f>0.4*C16</f>
        <v>1899233218.5599999</v>
      </c>
      <c r="E18" s="276">
        <f>+C18/$E$4</f>
        <v>3221.7696667684477</v>
      </c>
    </row>
    <row r="19" spans="2:5" x14ac:dyDescent="0.25">
      <c r="B19" s="529"/>
      <c r="C19" s="271" t="s">
        <v>183</v>
      </c>
    </row>
    <row r="20" spans="2:5" x14ac:dyDescent="0.25">
      <c r="B20" s="530"/>
      <c r="C20" s="272">
        <f>+C14*0.4</f>
        <v>3165388697.6000004</v>
      </c>
      <c r="E20" s="276">
        <f>+C20/$E$4</f>
        <v>5369.6161112807467</v>
      </c>
    </row>
    <row r="21" spans="2:5" ht="45" x14ac:dyDescent="0.25">
      <c r="B21" s="522" t="s">
        <v>184</v>
      </c>
      <c r="C21" s="265" t="s">
        <v>281</v>
      </c>
    </row>
    <row r="22" spans="2:5" ht="30" x14ac:dyDescent="0.25">
      <c r="B22" s="523"/>
      <c r="C22" s="319" t="s">
        <v>185</v>
      </c>
    </row>
    <row r="23" spans="2:5" x14ac:dyDescent="0.25">
      <c r="B23" s="523"/>
      <c r="C23" s="318" t="s">
        <v>186</v>
      </c>
    </row>
    <row r="24" spans="2:5" x14ac:dyDescent="0.25">
      <c r="B24" s="523"/>
      <c r="C24" s="274">
        <f>0.5*C9</f>
        <v>1978367936</v>
      </c>
      <c r="E24" s="276">
        <f>+C24/$E$4</f>
        <v>3356.0100695504666</v>
      </c>
    </row>
    <row r="25" spans="2:5" x14ac:dyDescent="0.25">
      <c r="B25" s="523"/>
      <c r="C25" s="318" t="s">
        <v>187</v>
      </c>
    </row>
    <row r="26" spans="2:5" x14ac:dyDescent="0.25">
      <c r="B26" s="524"/>
      <c r="C26" s="327">
        <v>82.04</v>
      </c>
    </row>
  </sheetData>
  <mergeCells count="4">
    <mergeCell ref="B21:B26"/>
    <mergeCell ref="B1:C1"/>
    <mergeCell ref="B11:C11"/>
    <mergeCell ref="B14:B20"/>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49"/>
  <sheetViews>
    <sheetView view="pageBreakPreview" zoomScale="40" zoomScaleNormal="80" zoomScaleSheetLayoutView="40" workbookViewId="0">
      <selection activeCell="T34" sqref="T34"/>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7.570312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21.140625" style="1" customWidth="1"/>
    <col min="13" max="13" width="19.28515625" style="1" customWidth="1"/>
    <col min="14" max="16" width="15.42578125" style="1" customWidth="1"/>
    <col min="17" max="17" width="16.5703125" style="1" customWidth="1"/>
    <col min="18" max="19" width="18.140625" style="1" customWidth="1"/>
    <col min="20" max="20" width="20.85546875" style="3" bestFit="1" customWidth="1"/>
    <col min="21" max="21" width="11" style="3" customWidth="1"/>
    <col min="22" max="22" width="9.85546875" style="3" customWidth="1"/>
    <col min="23" max="23" width="8.42578125" style="3" customWidth="1"/>
    <col min="24" max="24" width="28" style="3" customWidth="1"/>
    <col min="25" max="25" width="15.85546875" style="2" customWidth="1"/>
    <col min="26" max="26" width="8.5703125" style="2" customWidth="1"/>
    <col min="27" max="27" width="8" style="2" customWidth="1"/>
    <col min="28" max="28" width="20.42578125" style="2" customWidth="1"/>
    <col min="29" max="29" width="23.42578125" style="2" customWidth="1"/>
    <col min="30" max="30" width="19.42578125" style="2" customWidth="1"/>
    <col min="31" max="32" width="19.7109375" style="2" customWidth="1"/>
    <col min="33" max="33" width="19.85546875" style="2" customWidth="1"/>
    <col min="34" max="34" width="16.85546875" style="1" customWidth="1"/>
    <col min="35" max="35" width="16.5703125" style="1" customWidth="1"/>
    <col min="36" max="36" width="16.42578125" style="1" customWidth="1"/>
    <col min="37" max="37" width="2.28515625" style="1" bestFit="1" customWidth="1"/>
    <col min="38" max="38" width="5" style="1" bestFit="1" customWidth="1"/>
    <col min="39" max="39" width="2.28515625" style="1" bestFit="1" customWidth="1"/>
    <col min="40" max="40" width="5" style="1" bestFit="1" customWidth="1"/>
    <col min="41" max="41" width="5.5703125" style="1" bestFit="1" customWidth="1"/>
    <col min="42" max="42" width="6.5703125" style="1" bestFit="1" customWidth="1"/>
    <col min="43" max="43" width="2.42578125" style="1" bestFit="1" customWidth="1"/>
    <col min="44" max="44" width="8.7109375" style="1" bestFit="1" customWidth="1"/>
    <col min="45" max="45" width="11.42578125" style="1" bestFit="1" customWidth="1"/>
    <col min="46" max="16384" width="11.5703125" style="1"/>
  </cols>
  <sheetData>
    <row r="1" spans="1:45" ht="21" customHeight="1" x14ac:dyDescent="0.2">
      <c r="A1" s="90" t="s">
        <v>146</v>
      </c>
    </row>
    <row r="2" spans="1:45" ht="8.25" customHeight="1" x14ac:dyDescent="0.2"/>
    <row r="3" spans="1:45"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row>
    <row r="4" spans="1:45"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t="s">
        <v>129</v>
      </c>
      <c r="AC4" s="85" t="s">
        <v>130</v>
      </c>
      <c r="AD4" s="85" t="s">
        <v>131</v>
      </c>
      <c r="AE4" s="85" t="s">
        <v>132</v>
      </c>
      <c r="AF4" s="85" t="s">
        <v>137</v>
      </c>
      <c r="AG4" s="153" t="s">
        <v>138</v>
      </c>
    </row>
    <row r="5" spans="1:45" ht="109.5" customHeight="1" x14ac:dyDescent="0.2">
      <c r="A5" s="677" t="s">
        <v>1</v>
      </c>
      <c r="B5" s="679"/>
      <c r="C5" s="683"/>
      <c r="D5" s="684"/>
      <c r="E5" s="684"/>
      <c r="F5" s="685"/>
      <c r="G5" s="683"/>
      <c r="H5" s="685"/>
      <c r="I5" s="697" t="s">
        <v>124</v>
      </c>
      <c r="J5" s="698"/>
      <c r="K5" s="131" t="s">
        <v>109</v>
      </c>
      <c r="L5" s="131" t="s">
        <v>162</v>
      </c>
      <c r="M5" s="131" t="s">
        <v>148</v>
      </c>
      <c r="N5" s="131" t="s">
        <v>67</v>
      </c>
      <c r="O5" s="690"/>
      <c r="P5" s="694"/>
      <c r="Q5" s="695"/>
      <c r="R5" s="695"/>
      <c r="S5" s="695"/>
      <c r="T5" s="695"/>
      <c r="U5" s="696"/>
      <c r="V5" s="82"/>
      <c r="W5" s="82"/>
      <c r="X5" s="82"/>
      <c r="Y5" s="86"/>
      <c r="Z5" s="86"/>
      <c r="AA5" s="86"/>
      <c r="AB5" s="85">
        <v>1</v>
      </c>
      <c r="AC5" s="139">
        <v>7067480705</v>
      </c>
      <c r="AD5" s="139">
        <f>+AC5*1.5</f>
        <v>10601221057.5</v>
      </c>
      <c r="AE5" s="141">
        <f>+AD5/566700</f>
        <v>18706.936752249869</v>
      </c>
      <c r="AF5" s="141">
        <f>+AC5/566700</f>
        <v>12471.291168166579</v>
      </c>
      <c r="AG5" s="154">
        <v>163.21</v>
      </c>
    </row>
    <row r="6" spans="1:45" ht="48" customHeight="1" thickBot="1" x14ac:dyDescent="0.25">
      <c r="A6" s="236">
        <v>1</v>
      </c>
      <c r="B6" s="103" t="str">
        <f>INDEX(PROPONENTES!B1:B8,MATCH(A6,PROPONENTES!A1:A8,0))</f>
        <v>CONSORCIO CONCESION VIAL NORTE SANTANDER</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v>2</v>
      </c>
      <c r="AC6" s="139">
        <v>4386497161</v>
      </c>
      <c r="AD6" s="140">
        <f>+AC6*2</f>
        <v>8772994322</v>
      </c>
      <c r="AE6" s="141">
        <f>+AD6/566700</f>
        <v>15480.844047997176</v>
      </c>
      <c r="AF6" s="141">
        <f>+AC6/566700</f>
        <v>7740.422023998588</v>
      </c>
      <c r="AG6" s="282">
        <v>297.10000000000002</v>
      </c>
    </row>
    <row r="7" spans="1:45" ht="47.25" customHeight="1" thickTop="1" x14ac:dyDescent="0.2">
      <c r="A7" s="105" t="str">
        <f>CONCATENATE($A$6,"A")</f>
        <v>1A</v>
      </c>
      <c r="B7" s="106" t="str">
        <f>IFERROR(INDEX(PROPONENTES!$F$1:$F$23,MATCH(A7,PROPONENTES!$E$1:$E$23,0)),"")</f>
        <v>DISEÑOS INTERVENTORIAS Y SERVICIOS - DIS S.A.S</v>
      </c>
      <c r="C7" s="707">
        <f>IFERROR(INDEX(PROPONENTES!$H$1:$H$23,MATCH(A7,PROPONENTES!$E$1:$E$23,0)),"")</f>
        <v>0.6</v>
      </c>
      <c r="D7" s="707"/>
      <c r="E7" s="638" t="str">
        <f>IF(B7="","N. A.",IF(C7&lt;=40%,"NO LIDER","LIDER"))</f>
        <v>LIDER</v>
      </c>
      <c r="F7" s="638"/>
      <c r="G7" s="670" t="s">
        <v>77</v>
      </c>
      <c r="H7" s="670"/>
      <c r="I7" s="638" t="str">
        <f>IF(B7="","N.A.",IF(OR(G7="E"),"APLICA FORMATO 2","APLICA RUP"))</f>
        <v>APLICA RUP</v>
      </c>
      <c r="J7" s="638"/>
      <c r="K7" s="227" t="s">
        <v>78</v>
      </c>
      <c r="L7" s="227" t="s">
        <v>78</v>
      </c>
      <c r="M7" s="88" t="s">
        <v>108</v>
      </c>
      <c r="N7" s="97" t="str">
        <f>IF(B7="","N. A.",IF(AND(K7="SI",L7="SI",M7="N.A."),"HABIL","NO HABIL"))</f>
        <v>HABIL</v>
      </c>
      <c r="O7" s="229">
        <v>34</v>
      </c>
      <c r="P7" s="666" t="s">
        <v>163</v>
      </c>
      <c r="Q7" s="667"/>
      <c r="R7" s="667"/>
      <c r="S7" s="667"/>
      <c r="T7" s="667"/>
      <c r="U7" s="668"/>
      <c r="V7" s="83"/>
      <c r="W7" s="83"/>
      <c r="X7" s="83"/>
      <c r="Y7" s="81"/>
      <c r="Z7" s="81"/>
      <c r="AA7" s="81"/>
      <c r="AB7" s="85"/>
      <c r="AC7" s="139"/>
      <c r="AD7" s="140"/>
      <c r="AE7" s="141"/>
      <c r="AF7" s="141"/>
      <c r="AG7" s="283"/>
      <c r="AI7" s="88" t="s">
        <v>77</v>
      </c>
      <c r="AJ7" s="88" t="s">
        <v>78</v>
      </c>
      <c r="AK7" s="88" t="e">
        <f>IF(#REF!="HABIL",1,0)</f>
        <v>#REF!</v>
      </c>
      <c r="AL7" s="89" t="e">
        <f>SUM(AK7:AK10)</f>
        <v>#REF!</v>
      </c>
      <c r="AM7" s="88" t="e">
        <f>IF(#REF!="HABIL",1,0)</f>
        <v>#REF!</v>
      </c>
      <c r="AN7" s="89" t="e">
        <f>SUM(AM7:AM10)</f>
        <v>#REF!</v>
      </c>
      <c r="AO7" s="88">
        <f>IF(B7="",0,IF(G7="O",17420*C7,0))</f>
        <v>10452</v>
      </c>
      <c r="AP7" s="88">
        <f>SUM(AO7:AO10)</f>
        <v>17420</v>
      </c>
      <c r="AQ7" s="88" t="s">
        <v>74</v>
      </c>
      <c r="AR7" s="88" t="s">
        <v>76</v>
      </c>
      <c r="AS7" s="88">
        <v>0</v>
      </c>
    </row>
    <row r="8" spans="1:45" ht="29.25" customHeight="1" x14ac:dyDescent="0.2">
      <c r="A8" s="107" t="str">
        <f>CONCATENATE($A$6,"B")</f>
        <v>1B</v>
      </c>
      <c r="B8" s="108" t="str">
        <f>IFERROR(INDEX(PROPONENTES!$F$1:$F$23,MATCH(A8,PROPONENTES!$E$1:$E$23,0)),"")</f>
        <v>EDINTER SAS</v>
      </c>
      <c r="C8" s="669">
        <f>IFERROR(INDEX(PROPONENTES!$H$1:$H$23,MATCH(A8,PROPONENTES!$E$1:$E$23,0)),"")</f>
        <v>0.3</v>
      </c>
      <c r="D8" s="669"/>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45</v>
      </c>
      <c r="P8" s="666" t="s">
        <v>163</v>
      </c>
      <c r="Q8" s="667"/>
      <c r="R8" s="667"/>
      <c r="S8" s="667"/>
      <c r="T8" s="667"/>
      <c r="U8" s="668"/>
      <c r="V8" s="83"/>
      <c r="W8" s="83"/>
      <c r="X8" s="83"/>
      <c r="Y8" s="81"/>
      <c r="Z8" s="81"/>
      <c r="AA8" s="81"/>
      <c r="AB8" s="85"/>
      <c r="AC8" s="139"/>
      <c r="AD8" s="140"/>
      <c r="AE8" s="141"/>
      <c r="AF8" s="141"/>
      <c r="AG8" s="283"/>
      <c r="AI8" s="88" t="s">
        <v>79</v>
      </c>
      <c r="AJ8" s="88" t="s">
        <v>111</v>
      </c>
      <c r="AK8" s="88" t="e">
        <f>IF(#REF!="HABIL",1,0)</f>
        <v>#REF!</v>
      </c>
      <c r="AL8" s="89"/>
      <c r="AM8" s="88" t="e">
        <f>IF(#REF!="HABIL",1,0)</f>
        <v>#REF!</v>
      </c>
      <c r="AN8" s="88"/>
      <c r="AO8" s="88">
        <f>IF(B8="",0,IF(G8="O",17420*C8,0))</f>
        <v>5226</v>
      </c>
      <c r="AQ8" s="88" t="s">
        <v>75</v>
      </c>
      <c r="AR8" s="88" t="s">
        <v>108</v>
      </c>
      <c r="AS8" s="88">
        <v>150</v>
      </c>
    </row>
    <row r="9" spans="1:45" ht="27.75" customHeight="1" x14ac:dyDescent="0.2">
      <c r="A9" s="107" t="str">
        <f>CONCATENATE($A$6,"C")</f>
        <v>1C</v>
      </c>
      <c r="B9" s="108" t="str">
        <f>IFERROR(INDEX(PROPONENTES!$F$1:$F$23,MATCH(A9,PROPONENTES!$E$1:$E$23,0)),"")</f>
        <v>JASEN CONSULTORES S.A.S.</v>
      </c>
      <c r="C9" s="669">
        <f>IFERROR(INDEX(PROPONENTES!$H$1:$H$23,MATCH(A9,PROPONENTES!$E$1:$E$23,0)),"")</f>
        <v>0.1</v>
      </c>
      <c r="D9" s="669"/>
      <c r="E9" s="638" t="str">
        <f>IF(B9="","N. A.",IF(C9&lt;=40%,"NO LIDER","LIDER"))</f>
        <v>NO LIDER</v>
      </c>
      <c r="F9" s="638"/>
      <c r="G9" s="670" t="s">
        <v>77</v>
      </c>
      <c r="H9" s="670"/>
      <c r="I9" s="639" t="str">
        <f>IF(B9="","N.A.",IF(OR(G9="E"),"APLICA FORMATO 1","APLICA RUP"))</f>
        <v>APLICA RUP</v>
      </c>
      <c r="J9" s="639"/>
      <c r="K9" s="168" t="s">
        <v>78</v>
      </c>
      <c r="L9" s="168" t="s">
        <v>78</v>
      </c>
      <c r="M9" s="250" t="s">
        <v>108</v>
      </c>
      <c r="N9" s="48" t="str">
        <f>IF(B9="","N. A.",IF(AND(K9="SI",L9="SI",M9="N.A."),"HABIL","NO HABIL"))</f>
        <v>HABIL</v>
      </c>
      <c r="O9" s="337">
        <v>55</v>
      </c>
      <c r="P9" s="666" t="s">
        <v>163</v>
      </c>
      <c r="Q9" s="667"/>
      <c r="R9" s="667"/>
      <c r="S9" s="667"/>
      <c r="T9" s="667"/>
      <c r="U9" s="668"/>
      <c r="V9" s="83"/>
      <c r="W9" s="83"/>
      <c r="X9" s="83"/>
      <c r="Y9" s="81"/>
      <c r="Z9" s="81"/>
      <c r="AA9" s="81"/>
      <c r="AB9" s="85"/>
      <c r="AC9" s="139"/>
      <c r="AD9" s="140"/>
      <c r="AE9" s="141"/>
      <c r="AF9" s="141"/>
      <c r="AG9" s="283"/>
      <c r="AI9" s="88"/>
      <c r="AJ9" s="88"/>
      <c r="AK9" s="88" t="e">
        <f>IF(#REF!="HABIL",1,0)</f>
        <v>#REF!</v>
      </c>
      <c r="AL9" s="89"/>
      <c r="AM9" s="88" t="e">
        <f>IF(#REF!="HABIL",1,0)</f>
        <v>#REF!</v>
      </c>
      <c r="AN9" s="88"/>
      <c r="AO9" s="88">
        <f>IF(B9="",0,IF(G9="O",17420*C9,0))</f>
        <v>1742</v>
      </c>
      <c r="AS9" s="88" t="s">
        <v>120</v>
      </c>
    </row>
    <row r="10" spans="1:45" ht="29.25" customHeight="1" thickBot="1" x14ac:dyDescent="0.25">
      <c r="A10" s="109"/>
      <c r="B10" s="110" t="str">
        <f>IFERROR(INDEX(PROPONENTES!$F$1:$F$23,MATCH(A10,PROPONENTES!$E$1:$E$23,0)),"")</f>
        <v/>
      </c>
      <c r="C10" s="671" t="str">
        <f>IFERROR(INDEX(PROPONENTES!$H$1:$H$23,MATCH(A10,PROPONENTES!$E$1:$E$23,0)),"")</f>
        <v/>
      </c>
      <c r="D10" s="671"/>
      <c r="E10" s="628"/>
      <c r="F10" s="628"/>
      <c r="G10" s="672"/>
      <c r="H10" s="672"/>
      <c r="I10" s="628"/>
      <c r="J10" s="628"/>
      <c r="K10" s="228"/>
      <c r="L10" s="228"/>
      <c r="M10" s="228"/>
      <c r="N10" s="49"/>
      <c r="O10" s="178"/>
      <c r="P10" s="673"/>
      <c r="Q10" s="674"/>
      <c r="R10" s="674"/>
      <c r="S10" s="674"/>
      <c r="T10" s="674"/>
      <c r="U10" s="675"/>
      <c r="V10" s="83"/>
      <c r="W10" s="83"/>
      <c r="X10" s="83"/>
      <c r="Y10" s="81"/>
      <c r="Z10" s="81"/>
      <c r="AA10" s="81"/>
      <c r="AB10" s="85"/>
      <c r="AC10" s="139"/>
      <c r="AD10" s="140"/>
      <c r="AE10" s="141"/>
      <c r="AF10" s="141"/>
      <c r="AG10" s="283"/>
      <c r="AI10" s="88"/>
      <c r="AJ10" s="88"/>
      <c r="AK10" s="88" t="e">
        <f>IF(#REF!="HABIL",1,0)</f>
        <v>#REF!</v>
      </c>
      <c r="AL10" s="89"/>
      <c r="AM10" s="88" t="e">
        <f>IF(#REF!="HABIL",1,0)</f>
        <v>#REF!</v>
      </c>
      <c r="AN10" s="88"/>
      <c r="AO10" s="88">
        <f>IF(B10="",0,IF(G10="O",17420*C10,0))</f>
        <v>0</v>
      </c>
    </row>
    <row r="11" spans="1:45" ht="29.25" customHeight="1" x14ac:dyDescent="0.2">
      <c r="A11" s="142"/>
      <c r="B11" s="143"/>
      <c r="C11" s="144"/>
      <c r="D11" s="144"/>
      <c r="E11" s="123"/>
      <c r="F11" s="123"/>
      <c r="I11" s="123"/>
      <c r="J11" s="123"/>
      <c r="O11" s="123"/>
      <c r="P11" s="145"/>
      <c r="Q11" s="145"/>
      <c r="R11" s="145"/>
      <c r="S11" s="145"/>
      <c r="T11" s="145"/>
      <c r="U11" s="145"/>
      <c r="V11" s="83"/>
      <c r="W11" s="83"/>
      <c r="X11" s="83"/>
      <c r="Y11" s="81"/>
      <c r="Z11" s="81"/>
      <c r="AA11" s="81"/>
      <c r="AB11" s="85"/>
      <c r="AC11" s="139"/>
      <c r="AD11" s="140"/>
      <c r="AE11" s="141"/>
      <c r="AF11" s="141"/>
      <c r="AG11" s="283"/>
      <c r="AI11" s="88"/>
      <c r="AJ11" s="88"/>
      <c r="AK11" s="88"/>
      <c r="AL11" s="89"/>
      <c r="AM11" s="88"/>
      <c r="AN11" s="88"/>
      <c r="AO11" s="88"/>
    </row>
    <row r="12" spans="1:45" ht="32.25" customHeight="1" x14ac:dyDescent="0.2">
      <c r="AB12" s="85"/>
      <c r="AC12" s="139"/>
      <c r="AD12" s="139"/>
      <c r="AE12" s="141"/>
      <c r="AF12" s="141"/>
      <c r="AG12" s="283"/>
      <c r="AL12" s="3"/>
    </row>
    <row r="13" spans="1:45" ht="18" customHeight="1" thickBot="1" x14ac:dyDescent="0.25">
      <c r="A13" s="74" t="s">
        <v>125</v>
      </c>
      <c r="T13" s="1"/>
      <c r="Y13" s="3"/>
      <c r="AB13" s="85"/>
      <c r="AC13" s="139"/>
      <c r="AD13" s="139"/>
      <c r="AE13" s="141"/>
      <c r="AF13" s="141"/>
      <c r="AG13" s="283"/>
      <c r="AH13" s="2"/>
      <c r="AM13" s="3"/>
    </row>
    <row r="14" spans="1:45"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c r="AC14" s="139"/>
      <c r="AD14" s="139"/>
      <c r="AE14" s="141"/>
      <c r="AF14" s="141"/>
      <c r="AG14" s="284"/>
      <c r="AH14" s="2"/>
      <c r="AM14" s="3"/>
    </row>
    <row r="15" spans="1:45" ht="96.75" customHeight="1" x14ac:dyDescent="0.2">
      <c r="A15" s="654" t="s">
        <v>1</v>
      </c>
      <c r="B15" s="656"/>
      <c r="C15" s="660"/>
      <c r="D15" s="661"/>
      <c r="E15" s="661"/>
      <c r="F15" s="662"/>
      <c r="G15" s="660"/>
      <c r="H15" s="662"/>
      <c r="I15" s="47" t="s">
        <v>257</v>
      </c>
      <c r="J15" s="47" t="s">
        <v>161</v>
      </c>
      <c r="K15" s="665"/>
      <c r="L15" s="645"/>
      <c r="M15" s="646"/>
      <c r="N15" s="646"/>
      <c r="O15" s="646"/>
      <c r="P15" s="646"/>
      <c r="Q15" s="647"/>
      <c r="T15" s="1"/>
      <c r="Y15" s="3"/>
      <c r="AB15" s="85"/>
      <c r="AC15" s="139"/>
      <c r="AD15" s="139"/>
      <c r="AE15" s="141"/>
      <c r="AH15" s="2"/>
      <c r="AM15" s="3"/>
    </row>
    <row r="16" spans="1:45" ht="36.75" customHeight="1" thickBot="1" x14ac:dyDescent="0.25">
      <c r="A16" s="77">
        <f t="shared" ref="A16:C19" si="0">+A6</f>
        <v>1</v>
      </c>
      <c r="B16" s="76" t="str">
        <f t="shared" si="0"/>
        <v>CONSORCIO CONCESION VIAL NORTE SANTANDER</v>
      </c>
      <c r="C16" s="648" t="str">
        <f t="shared" si="0"/>
        <v>%</v>
      </c>
      <c r="D16" s="649"/>
      <c r="E16" s="650" t="str">
        <f>+E6</f>
        <v>Condición integrante</v>
      </c>
      <c r="F16" s="651"/>
      <c r="G16" s="91"/>
      <c r="H16" s="92"/>
      <c r="I16" s="93"/>
      <c r="J16" s="76" t="str">
        <f>IF(AND(J17="N. A.",J18="N. A.",J19="N. A.",J20="N. A."),"N. A.",IF(AO8&gt;=1,"HABIL","NO HABIL"))</f>
        <v>HABIL</v>
      </c>
      <c r="K16" s="78"/>
      <c r="L16" s="641"/>
      <c r="M16" s="642"/>
      <c r="N16" s="642"/>
      <c r="O16" s="642"/>
      <c r="P16" s="642"/>
      <c r="Q16" s="643"/>
      <c r="T16" s="1"/>
      <c r="Y16" s="3"/>
      <c r="AH16" s="2"/>
      <c r="AM16" s="3"/>
    </row>
    <row r="17" spans="1:40" ht="50.25" customHeight="1" thickTop="1" x14ac:dyDescent="0.2">
      <c r="A17" s="95" t="str">
        <f t="shared" si="0"/>
        <v>1A</v>
      </c>
      <c r="B17" s="96" t="str">
        <f t="shared" si="0"/>
        <v>DISEÑOS INTERVENTORIAS Y SERVICIOS - DIS S.A.S</v>
      </c>
      <c r="C17" s="637">
        <f t="shared" si="0"/>
        <v>0.6</v>
      </c>
      <c r="D17" s="638"/>
      <c r="E17" s="638" t="str">
        <f>+E7</f>
        <v>LIDER</v>
      </c>
      <c r="F17" s="638"/>
      <c r="G17" s="652" t="s">
        <v>77</v>
      </c>
      <c r="H17" s="638"/>
      <c r="I17" s="221">
        <v>25.963039999999999</v>
      </c>
      <c r="J17" s="87" t="str">
        <f>IF(B7="","N. A.",IF(AND(G7="O",I17&gt;=10),"HABIL",IF(AND(G7="O",I17&lt;10),"NO HABIL","N. A.")))</f>
        <v>HABIL</v>
      </c>
      <c r="K17" s="222">
        <v>34</v>
      </c>
      <c r="L17" s="641"/>
      <c r="M17" s="642"/>
      <c r="N17" s="642"/>
      <c r="O17" s="642"/>
      <c r="P17" s="642"/>
      <c r="Q17" s="643"/>
      <c r="T17" s="1"/>
      <c r="Y17" s="3"/>
      <c r="AH17" s="2"/>
      <c r="AM17" s="3"/>
    </row>
    <row r="18" spans="1:40" ht="39" customHeight="1" x14ac:dyDescent="0.2">
      <c r="A18" s="98" t="str">
        <f t="shared" si="0"/>
        <v>1B</v>
      </c>
      <c r="B18" s="96" t="str">
        <f t="shared" si="0"/>
        <v>EDINTER SAS</v>
      </c>
      <c r="C18" s="637">
        <f t="shared" si="0"/>
        <v>0.3</v>
      </c>
      <c r="D18" s="638"/>
      <c r="E18" s="639" t="str">
        <f>+E8</f>
        <v>NO LIDER</v>
      </c>
      <c r="F18" s="639"/>
      <c r="G18" s="640" t="s">
        <v>77</v>
      </c>
      <c r="H18" s="639"/>
      <c r="I18" s="223">
        <v>15</v>
      </c>
      <c r="J18" s="46" t="str">
        <f>IF(B8="","N. A.",IF(AND(G8="O",I18&gt;=10),"HABIL",IF(AND(G8="O",I18&lt;10),"NO HABIL","N. A.")))</f>
        <v>HABIL</v>
      </c>
      <c r="K18" s="224">
        <v>45</v>
      </c>
      <c r="L18" s="641"/>
      <c r="M18" s="642"/>
      <c r="N18" s="642"/>
      <c r="O18" s="642"/>
      <c r="P18" s="642"/>
      <c r="Q18" s="643"/>
      <c r="T18" s="1"/>
      <c r="Y18" s="3"/>
      <c r="AH18" s="2"/>
      <c r="AM18" s="3"/>
    </row>
    <row r="19" spans="1:40" ht="27.75" customHeight="1" x14ac:dyDescent="0.2">
      <c r="A19" s="98" t="str">
        <f t="shared" si="0"/>
        <v>1C</v>
      </c>
      <c r="B19" s="96" t="str">
        <f t="shared" si="0"/>
        <v>JASEN CONSULTORES S.A.S.</v>
      </c>
      <c r="C19" s="637">
        <f t="shared" si="0"/>
        <v>0.1</v>
      </c>
      <c r="D19" s="638"/>
      <c r="E19" s="639" t="str">
        <f>+E9</f>
        <v>NO LIDER</v>
      </c>
      <c r="F19" s="639"/>
      <c r="G19" s="640" t="s">
        <v>77</v>
      </c>
      <c r="H19" s="639"/>
      <c r="I19" s="223">
        <v>12.136889999999999</v>
      </c>
      <c r="J19" s="46" t="str">
        <f>IF(B9="","N. A.",IF(AND(G9="O",I19&gt;=10),"HABIL",IF(AND(G9="O",I19&lt;10),"NO HABIL","N. A.")))</f>
        <v>HABIL</v>
      </c>
      <c r="K19" s="338">
        <v>56</v>
      </c>
      <c r="L19" s="641"/>
      <c r="M19" s="642"/>
      <c r="N19" s="642"/>
      <c r="O19" s="642"/>
      <c r="P19" s="642"/>
      <c r="Q19" s="643"/>
      <c r="T19" s="1"/>
      <c r="Y19" s="3"/>
      <c r="AH19" s="2"/>
      <c r="AM19" s="3"/>
    </row>
    <row r="20" spans="1:40" ht="29.25" customHeight="1" thickBot="1" x14ac:dyDescent="0.25">
      <c r="A20" s="100"/>
      <c r="B20" s="101"/>
      <c r="C20" s="627"/>
      <c r="D20" s="628"/>
      <c r="E20" s="628"/>
      <c r="F20" s="628"/>
      <c r="G20" s="629"/>
      <c r="H20" s="628"/>
      <c r="I20" s="225"/>
      <c r="J20" s="75"/>
      <c r="K20" s="226"/>
      <c r="L20" s="630"/>
      <c r="M20" s="631"/>
      <c r="N20" s="631"/>
      <c r="O20" s="631"/>
      <c r="P20" s="631"/>
      <c r="Q20" s="632"/>
      <c r="T20" s="1"/>
      <c r="Y20" s="3"/>
      <c r="AH20" s="2"/>
      <c r="AM20" s="3"/>
    </row>
    <row r="21" spans="1:40" ht="29.25" customHeight="1" x14ac:dyDescent="0.2">
      <c r="A21" s="123"/>
      <c r="B21" s="124"/>
      <c r="C21" s="125"/>
      <c r="D21" s="123"/>
      <c r="E21" s="123"/>
      <c r="F21" s="123"/>
      <c r="G21" s="126"/>
      <c r="H21" s="123"/>
      <c r="I21" s="128"/>
      <c r="J21" s="129"/>
      <c r="K21" s="130"/>
      <c r="L21" s="127"/>
      <c r="M21" s="127"/>
      <c r="N21" s="127"/>
      <c r="O21" s="127"/>
      <c r="P21" s="127"/>
      <c r="Q21" s="127"/>
      <c r="T21" s="1"/>
      <c r="Y21" s="3"/>
      <c r="AH21" s="2"/>
      <c r="AM21" s="3"/>
    </row>
    <row r="22" spans="1:40" ht="16.5" thickBot="1" x14ac:dyDescent="0.25">
      <c r="A22" s="74" t="s">
        <v>216</v>
      </c>
      <c r="T22" s="1"/>
      <c r="Y22" s="3"/>
      <c r="AA22" s="113"/>
      <c r="AB22" s="113"/>
      <c r="AC22" s="113"/>
      <c r="AD22" s="113"/>
      <c r="AE22" s="113"/>
      <c r="AF22" s="113"/>
      <c r="AH22" s="2"/>
      <c r="AM22" s="3"/>
    </row>
    <row r="23" spans="1:40" ht="107.25" customHeight="1" x14ac:dyDescent="0.2">
      <c r="A23" s="633" t="s">
        <v>112</v>
      </c>
      <c r="B23" s="634"/>
      <c r="C23" s="635" t="s">
        <v>113</v>
      </c>
      <c r="D23" s="634"/>
      <c r="E23" s="635" t="s">
        <v>70</v>
      </c>
      <c r="F23" s="634"/>
      <c r="G23" s="619" t="s">
        <v>114</v>
      </c>
      <c r="H23" s="620"/>
      <c r="I23" s="620"/>
      <c r="J23" s="620"/>
      <c r="K23" s="636"/>
      <c r="L23" s="425" t="s">
        <v>115</v>
      </c>
      <c r="M23" s="425" t="s">
        <v>126</v>
      </c>
      <c r="N23" s="425" t="s">
        <v>117</v>
      </c>
      <c r="O23" s="425" t="s">
        <v>118</v>
      </c>
      <c r="P23" s="425" t="s">
        <v>127</v>
      </c>
      <c r="Q23" s="425" t="s">
        <v>106</v>
      </c>
      <c r="R23" s="619" t="s">
        <v>2</v>
      </c>
      <c r="S23" s="620"/>
      <c r="T23" s="620"/>
      <c r="U23" s="620"/>
      <c r="V23" s="620"/>
      <c r="W23" s="620"/>
      <c r="X23" s="620"/>
      <c r="Y23" s="621"/>
      <c r="Z23" s="114"/>
      <c r="AA23" s="114"/>
      <c r="AB23" s="114"/>
      <c r="AC23" s="114"/>
      <c r="AD23" s="114"/>
      <c r="AE23" s="114"/>
      <c r="AF23" s="111"/>
      <c r="AG23" s="111"/>
      <c r="AL23" s="3"/>
    </row>
    <row r="24" spans="1:40" ht="69.75" customHeight="1" x14ac:dyDescent="0.2">
      <c r="A24" s="622" t="s">
        <v>305</v>
      </c>
      <c r="B24" s="623"/>
      <c r="C24" s="531" t="str">
        <f>IFERROR(INDEX($E$7:$E$9,MATCH(A24,$B$7:$B$9,0)),"N.A.")</f>
        <v>LIDER</v>
      </c>
      <c r="D24" s="532"/>
      <c r="E24" s="531">
        <v>1</v>
      </c>
      <c r="F24" s="532"/>
      <c r="G24" s="571" t="s">
        <v>306</v>
      </c>
      <c r="H24" s="572"/>
      <c r="I24" s="572"/>
      <c r="J24" s="572"/>
      <c r="K24" s="573"/>
      <c r="L24" s="182" t="s">
        <v>200</v>
      </c>
      <c r="M24" s="197" t="s">
        <v>78</v>
      </c>
      <c r="N24" s="185">
        <v>35052</v>
      </c>
      <c r="O24" s="185">
        <v>35854</v>
      </c>
      <c r="P24" s="624" t="s">
        <v>122</v>
      </c>
      <c r="Q24" s="181" t="s">
        <v>307</v>
      </c>
      <c r="R24" s="565"/>
      <c r="S24" s="566"/>
      <c r="T24" s="566"/>
      <c r="U24" s="566"/>
      <c r="V24" s="566"/>
      <c r="W24" s="566"/>
      <c r="X24" s="566"/>
      <c r="Y24" s="567"/>
      <c r="Z24" s="112"/>
      <c r="AA24" s="112"/>
      <c r="AB24" s="112"/>
      <c r="AC24" s="112"/>
      <c r="AD24" s="112"/>
      <c r="AE24" s="112"/>
      <c r="AF24" s="112"/>
      <c r="AG24" s="112"/>
      <c r="AI24" s="1">
        <f>IF(C24="MAP",IF(M24&gt;=30%,#REF!,#REF!*M24),0)</f>
        <v>0</v>
      </c>
      <c r="AJ24" s="1">
        <f>SUM(AI24:AI25)</f>
        <v>0</v>
      </c>
      <c r="AL24" s="3"/>
    </row>
    <row r="25" spans="1:40" ht="54" customHeight="1" x14ac:dyDescent="0.2">
      <c r="A25" s="622" t="s">
        <v>159</v>
      </c>
      <c r="B25" s="623"/>
      <c r="C25" s="531" t="str">
        <f>IFERROR(INDEX($E$7:$E$9,MATCH(A25,$B$7:$B$9,0)),"N.A.")</f>
        <v>NO LIDER</v>
      </c>
      <c r="D25" s="532"/>
      <c r="E25" s="531">
        <v>1</v>
      </c>
      <c r="F25" s="532"/>
      <c r="G25" s="571" t="s">
        <v>166</v>
      </c>
      <c r="H25" s="572"/>
      <c r="I25" s="572"/>
      <c r="J25" s="572"/>
      <c r="K25" s="573"/>
      <c r="L25" s="182" t="s">
        <v>167</v>
      </c>
      <c r="M25" s="198" t="s">
        <v>78</v>
      </c>
      <c r="N25" s="185">
        <v>40961</v>
      </c>
      <c r="O25" s="185">
        <v>41273</v>
      </c>
      <c r="P25" s="625"/>
      <c r="Q25" s="193" t="s">
        <v>308</v>
      </c>
      <c r="R25" s="565"/>
      <c r="S25" s="566"/>
      <c r="T25" s="566"/>
      <c r="U25" s="566"/>
      <c r="V25" s="566"/>
      <c r="W25" s="566"/>
      <c r="X25" s="566"/>
      <c r="Y25" s="567"/>
      <c r="Z25" s="112"/>
      <c r="AA25" s="112"/>
      <c r="AB25" s="112"/>
      <c r="AC25" s="112"/>
      <c r="AD25" s="112"/>
      <c r="AE25" s="112"/>
      <c r="AF25" s="112"/>
      <c r="AG25" s="112"/>
      <c r="AL25" s="3"/>
    </row>
    <row r="26" spans="1:40" ht="68.25" customHeight="1" thickBot="1" x14ac:dyDescent="0.25">
      <c r="A26" s="611" t="s">
        <v>282</v>
      </c>
      <c r="B26" s="612"/>
      <c r="C26" s="613" t="str">
        <f>IFERROR(INDEX($E$7:$E$9,MATCH(A26,$B$7:$B$9,0)),"N.A.")</f>
        <v>NO LIDER</v>
      </c>
      <c r="D26" s="614"/>
      <c r="E26" s="613">
        <v>3</v>
      </c>
      <c r="F26" s="614"/>
      <c r="G26" s="597" t="s">
        <v>311</v>
      </c>
      <c r="H26" s="598"/>
      <c r="I26" s="598"/>
      <c r="J26" s="598"/>
      <c r="K26" s="599"/>
      <c r="L26" s="238" t="s">
        <v>201</v>
      </c>
      <c r="M26" s="201" t="s">
        <v>78</v>
      </c>
      <c r="N26" s="187">
        <v>38397</v>
      </c>
      <c r="O26" s="187">
        <v>39933</v>
      </c>
      <c r="P26" s="626"/>
      <c r="Q26" s="202" t="s">
        <v>312</v>
      </c>
      <c r="R26" s="704"/>
      <c r="S26" s="705"/>
      <c r="T26" s="705"/>
      <c r="U26" s="705"/>
      <c r="V26" s="705"/>
      <c r="W26" s="705"/>
      <c r="X26" s="705"/>
      <c r="Y26" s="706"/>
      <c r="Z26" s="112"/>
      <c r="AA26" s="112"/>
      <c r="AB26" s="112"/>
      <c r="AC26" s="112"/>
      <c r="AD26" s="112"/>
      <c r="AE26" s="112"/>
      <c r="AF26" s="112"/>
      <c r="AG26" s="112"/>
      <c r="AL26" s="3"/>
    </row>
    <row r="27" spans="1:40" ht="24" customHeight="1" x14ac:dyDescent="0.2">
      <c r="T27" s="1"/>
      <c r="U27" s="1"/>
      <c r="Y27" s="3"/>
      <c r="Z27" s="3"/>
      <c r="AH27" s="2"/>
      <c r="AI27" s="2"/>
      <c r="AN27" s="3"/>
    </row>
    <row r="28" spans="1:40" x14ac:dyDescent="0.2">
      <c r="T28" s="1"/>
      <c r="Y28" s="3"/>
      <c r="AH28" s="2"/>
    </row>
    <row r="29" spans="1:40" ht="16.5" thickBot="1" x14ac:dyDescent="0.25">
      <c r="A29" s="74" t="s">
        <v>217</v>
      </c>
      <c r="T29" s="1"/>
      <c r="Y29" s="3"/>
      <c r="AA29" s="113"/>
      <c r="AB29" s="113"/>
      <c r="AC29" s="113"/>
      <c r="AD29" s="113"/>
      <c r="AE29" s="113"/>
      <c r="AF29" s="113"/>
      <c r="AH29" s="2"/>
      <c r="AM29" s="3"/>
    </row>
    <row r="30" spans="1:40" ht="114" customHeight="1" thickBot="1" x14ac:dyDescent="0.25">
      <c r="A30" s="615" t="s">
        <v>112</v>
      </c>
      <c r="B30" s="541"/>
      <c r="C30" s="539" t="s">
        <v>113</v>
      </c>
      <c r="D30" s="541"/>
      <c r="E30" s="539" t="s">
        <v>70</v>
      </c>
      <c r="F30" s="541"/>
      <c r="G30" s="616" t="s">
        <v>114</v>
      </c>
      <c r="H30" s="617"/>
      <c r="I30" s="617"/>
      <c r="J30" s="617"/>
      <c r="K30" s="618"/>
      <c r="L30" s="426" t="s">
        <v>128</v>
      </c>
      <c r="M30" s="293" t="s">
        <v>115</v>
      </c>
      <c r="N30" s="293" t="s">
        <v>117</v>
      </c>
      <c r="O30" s="293" t="s">
        <v>118</v>
      </c>
      <c r="P30" s="424" t="s">
        <v>116</v>
      </c>
      <c r="Q30" s="424" t="s">
        <v>119</v>
      </c>
      <c r="R30" s="424" t="s">
        <v>189</v>
      </c>
      <c r="S30" s="424" t="s">
        <v>256</v>
      </c>
      <c r="T30" s="424" t="s">
        <v>106</v>
      </c>
      <c r="U30" s="608" t="s">
        <v>2</v>
      </c>
      <c r="V30" s="609"/>
      <c r="W30" s="609"/>
      <c r="X30" s="609"/>
      <c r="Y30" s="609"/>
      <c r="Z30" s="609"/>
      <c r="AA30" s="610"/>
      <c r="AB30" s="114"/>
      <c r="AC30" s="111"/>
      <c r="AD30" s="111"/>
      <c r="AE30" s="111"/>
      <c r="AF30" s="111"/>
      <c r="AG30" s="111"/>
      <c r="AL30" s="3"/>
    </row>
    <row r="31" spans="1:40" ht="63.75" customHeight="1" x14ac:dyDescent="0.2">
      <c r="A31" s="595" t="s">
        <v>305</v>
      </c>
      <c r="B31" s="596"/>
      <c r="C31" s="590" t="str">
        <f t="shared" ref="C31:C36" si="1">IFERROR(INDEX($E$7:$E$9,MATCH(A31,$B$7:$B$9,0)),"N.A.")</f>
        <v>LIDER</v>
      </c>
      <c r="D31" s="591"/>
      <c r="E31" s="590">
        <v>1</v>
      </c>
      <c r="F31" s="591"/>
      <c r="G31" s="571" t="s">
        <v>306</v>
      </c>
      <c r="H31" s="572"/>
      <c r="I31" s="572"/>
      <c r="J31" s="572"/>
      <c r="K31" s="573"/>
      <c r="L31" s="220" t="s">
        <v>133</v>
      </c>
      <c r="M31" s="182" t="s">
        <v>200</v>
      </c>
      <c r="N31" s="185">
        <v>35052</v>
      </c>
      <c r="O31" s="185">
        <v>35854</v>
      </c>
      <c r="P31" s="194">
        <v>0.5</v>
      </c>
      <c r="Q31" s="334">
        <f>1728937479/118933.5</f>
        <v>14537.010001387331</v>
      </c>
      <c r="R31" s="280" t="str">
        <f>IF(((Q31)&gt;='Calificación Técnica'!$E$18),"HABIL",IF(((Q31)&lt;'Calificación Técnica'!$E$18),"NO HABIL",))</f>
        <v>HABIL</v>
      </c>
      <c r="S31" s="556" t="str">
        <f>IF(($Q$31+$Q$32)&gt;='Calificación Técnica'!E14*0.6,IF(($Q$33+$Q$34+$Q$35+$Q$36)&gt;='Calificación Técnica'!E14*0.4,"HABIL","NO HABIL"))</f>
        <v>HABIL</v>
      </c>
      <c r="T31" s="195" t="s">
        <v>307</v>
      </c>
      <c r="U31" s="603"/>
      <c r="V31" s="604"/>
      <c r="W31" s="604"/>
      <c r="X31" s="604"/>
      <c r="Y31" s="604"/>
      <c r="Z31" s="604"/>
      <c r="AA31" s="605"/>
      <c r="AB31" s="112"/>
      <c r="AC31" s="112"/>
      <c r="AD31" s="112"/>
      <c r="AE31" s="112"/>
      <c r="AF31" s="112"/>
      <c r="AG31" s="112"/>
      <c r="AH31" s="112"/>
      <c r="AI31" s="112"/>
      <c r="AK31" s="1">
        <f>IF(C31="MAP",IF(N31&gt;=30%,#REF!,#REF!*N31),0)</f>
        <v>0</v>
      </c>
      <c r="AL31" s="1">
        <f>SUM(AK31:AK36)</f>
        <v>0</v>
      </c>
      <c r="AN31" s="3"/>
    </row>
    <row r="32" spans="1:40" ht="63.75" customHeight="1" x14ac:dyDescent="0.2">
      <c r="A32" s="588" t="s">
        <v>305</v>
      </c>
      <c r="B32" s="589"/>
      <c r="C32" s="531" t="str">
        <f t="shared" si="1"/>
        <v>LIDER</v>
      </c>
      <c r="D32" s="532"/>
      <c r="E32" s="531">
        <v>2</v>
      </c>
      <c r="F32" s="532"/>
      <c r="G32" s="571" t="s">
        <v>199</v>
      </c>
      <c r="H32" s="572"/>
      <c r="I32" s="572"/>
      <c r="J32" s="572"/>
      <c r="K32" s="573"/>
      <c r="L32" s="220" t="s">
        <v>133</v>
      </c>
      <c r="M32" s="182" t="s">
        <v>201</v>
      </c>
      <c r="N32" s="185">
        <v>38191</v>
      </c>
      <c r="O32" s="185">
        <v>39835</v>
      </c>
      <c r="P32" s="192">
        <v>0.75</v>
      </c>
      <c r="Q32" s="151">
        <f>8848157100/358000</f>
        <v>24715.522625698322</v>
      </c>
      <c r="R32" s="281" t="str">
        <f>IF(((Q32)&gt;='Calificación Técnica'!$E$18),"HABIL",IF(((Q32)&lt;'Calificación Técnica'!$E$18),"NO HABIL",))</f>
        <v>HABIL</v>
      </c>
      <c r="S32" s="557"/>
      <c r="T32" s="193" t="s">
        <v>308</v>
      </c>
      <c r="U32" s="565"/>
      <c r="V32" s="566"/>
      <c r="W32" s="566"/>
      <c r="X32" s="566"/>
      <c r="Y32" s="566"/>
      <c r="Z32" s="566"/>
      <c r="AA32" s="567"/>
      <c r="AB32" s="112"/>
      <c r="AC32" s="112"/>
      <c r="AD32" s="112"/>
      <c r="AE32" s="112"/>
      <c r="AF32" s="112"/>
      <c r="AG32" s="112"/>
      <c r="AH32" s="112"/>
      <c r="AI32" s="112"/>
      <c r="AK32" s="1">
        <f>IF(C32="MAP",IF(N32&gt;=30%,#REF!,#REF!*N32),0)</f>
        <v>0</v>
      </c>
      <c r="AN32" s="3"/>
    </row>
    <row r="33" spans="1:44" s="259" customFormat="1" ht="63.75" customHeight="1" x14ac:dyDescent="0.2">
      <c r="A33" s="588" t="s">
        <v>159</v>
      </c>
      <c r="B33" s="589"/>
      <c r="C33" s="531" t="str">
        <f t="shared" si="1"/>
        <v>NO LIDER</v>
      </c>
      <c r="D33" s="532"/>
      <c r="E33" s="531">
        <v>1</v>
      </c>
      <c r="F33" s="532"/>
      <c r="G33" s="571" t="s">
        <v>166</v>
      </c>
      <c r="H33" s="572"/>
      <c r="I33" s="572"/>
      <c r="J33" s="572"/>
      <c r="K33" s="573"/>
      <c r="L33" s="203" t="s">
        <v>133</v>
      </c>
      <c r="M33" s="211" t="s">
        <v>167</v>
      </c>
      <c r="N33" s="200">
        <v>40961</v>
      </c>
      <c r="O33" s="200">
        <v>41273</v>
      </c>
      <c r="P33" s="197">
        <v>0.7</v>
      </c>
      <c r="Q33" s="294">
        <f>((599061613+168515914)/535600)</f>
        <v>1433.1171153846153</v>
      </c>
      <c r="R33" s="328" t="s">
        <v>108</v>
      </c>
      <c r="S33" s="557"/>
      <c r="T33" s="193" t="s">
        <v>261</v>
      </c>
      <c r="U33" s="565"/>
      <c r="V33" s="566"/>
      <c r="W33" s="566"/>
      <c r="X33" s="566"/>
      <c r="Y33" s="566"/>
      <c r="Z33" s="566"/>
      <c r="AA33" s="567"/>
      <c r="AB33" s="258"/>
      <c r="AC33" s="258"/>
      <c r="AD33" s="258"/>
      <c r="AE33" s="258"/>
      <c r="AF33" s="258"/>
      <c r="AG33" s="258"/>
      <c r="AH33" s="258"/>
      <c r="AI33" s="258"/>
      <c r="AK33" s="259">
        <f>IF(C33="MAP",IF(N33&gt;=30%,#REF!,#REF!*N33),0)</f>
        <v>0</v>
      </c>
      <c r="AN33" s="260"/>
    </row>
    <row r="34" spans="1:44" s="370" customFormat="1" ht="44.25" customHeight="1" x14ac:dyDescent="0.2">
      <c r="A34" s="588" t="s">
        <v>159</v>
      </c>
      <c r="B34" s="589"/>
      <c r="C34" s="531" t="str">
        <f t="shared" si="1"/>
        <v>NO LIDER</v>
      </c>
      <c r="D34" s="532"/>
      <c r="E34" s="531">
        <v>2</v>
      </c>
      <c r="F34" s="532"/>
      <c r="G34" s="568" t="s">
        <v>258</v>
      </c>
      <c r="H34" s="569"/>
      <c r="I34" s="569"/>
      <c r="J34" s="569"/>
      <c r="K34" s="570"/>
      <c r="L34" s="401" t="s">
        <v>133</v>
      </c>
      <c r="M34" s="401" t="s">
        <v>309</v>
      </c>
      <c r="N34" s="402">
        <v>40219</v>
      </c>
      <c r="O34" s="402">
        <v>41199</v>
      </c>
      <c r="P34" s="403">
        <v>0.7</v>
      </c>
      <c r="Q34" s="417">
        <f>1354843088/515000</f>
        <v>2630.7632776699029</v>
      </c>
      <c r="R34" s="328" t="s">
        <v>108</v>
      </c>
      <c r="S34" s="557"/>
      <c r="T34" s="193" t="s">
        <v>310</v>
      </c>
      <c r="U34" s="565"/>
      <c r="V34" s="566"/>
      <c r="W34" s="566"/>
      <c r="X34" s="566"/>
      <c r="Y34" s="566"/>
      <c r="Z34" s="566"/>
      <c r="AA34" s="567"/>
      <c r="AB34" s="369"/>
      <c r="AC34" s="369"/>
      <c r="AD34" s="369"/>
      <c r="AE34" s="369"/>
      <c r="AF34" s="369"/>
      <c r="AG34" s="369"/>
      <c r="AH34" s="369"/>
      <c r="AI34" s="369"/>
      <c r="AK34" s="370">
        <f>IF(C34="MAP",IF(N34&gt;=30%,#REF!,#REF!*N34),0)</f>
        <v>0</v>
      </c>
      <c r="AN34" s="371"/>
    </row>
    <row r="35" spans="1:44" ht="73.5" customHeight="1" x14ac:dyDescent="0.2">
      <c r="A35" s="588" t="s">
        <v>282</v>
      </c>
      <c r="B35" s="589"/>
      <c r="C35" s="531" t="str">
        <f t="shared" si="1"/>
        <v>NO LIDER</v>
      </c>
      <c r="D35" s="532"/>
      <c r="E35" s="531">
        <v>3</v>
      </c>
      <c r="F35" s="532"/>
      <c r="G35" s="571" t="s">
        <v>311</v>
      </c>
      <c r="H35" s="572"/>
      <c r="I35" s="572"/>
      <c r="J35" s="572"/>
      <c r="K35" s="573"/>
      <c r="L35" s="220" t="s">
        <v>133</v>
      </c>
      <c r="M35" s="182" t="s">
        <v>201</v>
      </c>
      <c r="N35" s="185">
        <v>38397</v>
      </c>
      <c r="O35" s="185">
        <v>39933</v>
      </c>
      <c r="P35" s="192">
        <v>0.75</v>
      </c>
      <c r="Q35" s="151">
        <f>7847912216/381500</f>
        <v>20571.198469200524</v>
      </c>
      <c r="R35" s="281" t="s">
        <v>108</v>
      </c>
      <c r="S35" s="557"/>
      <c r="T35" s="181" t="s">
        <v>312</v>
      </c>
      <c r="U35" s="551"/>
      <c r="V35" s="552"/>
      <c r="W35" s="552"/>
      <c r="X35" s="552"/>
      <c r="Y35" s="552"/>
      <c r="Z35" s="552"/>
      <c r="AA35" s="553"/>
      <c r="AB35" s="112"/>
      <c r="AC35" s="112"/>
      <c r="AD35" s="112"/>
      <c r="AE35" s="112"/>
      <c r="AF35" s="112"/>
      <c r="AG35" s="112"/>
      <c r="AH35" s="112"/>
      <c r="AI35" s="112"/>
      <c r="AN35" s="3"/>
    </row>
    <row r="36" spans="1:44" s="259" customFormat="1" ht="53.25" customHeight="1" thickBot="1" x14ac:dyDescent="0.25">
      <c r="A36" s="606" t="s">
        <v>282</v>
      </c>
      <c r="B36" s="607"/>
      <c r="C36" s="586" t="str">
        <f t="shared" si="1"/>
        <v>NO LIDER</v>
      </c>
      <c r="D36" s="587"/>
      <c r="E36" s="586">
        <v>4</v>
      </c>
      <c r="F36" s="587"/>
      <c r="G36" s="597" t="s">
        <v>313</v>
      </c>
      <c r="H36" s="598"/>
      <c r="I36" s="598"/>
      <c r="J36" s="598"/>
      <c r="K36" s="599"/>
      <c r="L36" s="231" t="s">
        <v>133</v>
      </c>
      <c r="M36" s="186" t="s">
        <v>201</v>
      </c>
      <c r="N36" s="298">
        <v>39156</v>
      </c>
      <c r="O36" s="298">
        <v>41213</v>
      </c>
      <c r="P36" s="297">
        <v>1</v>
      </c>
      <c r="Q36" s="152">
        <f>8624404665/433700</f>
        <v>19885.645988010147</v>
      </c>
      <c r="R36" s="296" t="s">
        <v>108</v>
      </c>
      <c r="S36" s="558"/>
      <c r="T36" s="196" t="s">
        <v>314</v>
      </c>
      <c r="U36" s="600"/>
      <c r="V36" s="601"/>
      <c r="W36" s="601"/>
      <c r="X36" s="601"/>
      <c r="Y36" s="601"/>
      <c r="Z36" s="601"/>
      <c r="AA36" s="602"/>
      <c r="AB36" s="258"/>
      <c r="AC36" s="258"/>
      <c r="AD36" s="258"/>
      <c r="AE36" s="258"/>
      <c r="AF36" s="258"/>
      <c r="AG36" s="258"/>
      <c r="AH36" s="258"/>
      <c r="AI36" s="258"/>
      <c r="AK36" s="259">
        <f>IF(C36="MAP",IF(N36&gt;=30%,#REF!,#REF!*N36),0)</f>
        <v>0</v>
      </c>
      <c r="AN36" s="260"/>
    </row>
    <row r="37" spans="1:44" x14ac:dyDescent="0.2">
      <c r="Q37" s="299">
        <f>SUM(Q31:Q36)</f>
        <v>83773.257477350839</v>
      </c>
      <c r="R37" s="285" t="str">
        <f>IF(B6="","N. A.",IF((Q37&gt;='Calificación Técnica'!E14),"CUMPLE",IF((Q37&lt;'Calificación Técnica'!E14),"NO CUMPLE","N. A.")))</f>
        <v>CUMPLE</v>
      </c>
      <c r="S37" s="439"/>
    </row>
    <row r="39" spans="1:44" ht="25.5" x14ac:dyDescent="0.2">
      <c r="A39" s="90" t="s">
        <v>145</v>
      </c>
      <c r="T39" s="1"/>
      <c r="U39" s="1"/>
      <c r="Y39" s="3"/>
      <c r="Z39" s="3"/>
      <c r="AH39" s="2"/>
      <c r="AI39" s="2"/>
      <c r="AJ39" s="2"/>
      <c r="AK39" s="2"/>
      <c r="AL39" s="2"/>
      <c r="AM39" s="2"/>
      <c r="AN39" s="2"/>
      <c r="AO39" s="2"/>
      <c r="AP39" s="2"/>
      <c r="AQ39" s="2"/>
    </row>
    <row r="40" spans="1:44" ht="16.5" thickBot="1" x14ac:dyDescent="0.25">
      <c r="A40" s="74" t="s">
        <v>220</v>
      </c>
      <c r="T40" s="1"/>
      <c r="U40" s="1"/>
      <c r="V40" s="1"/>
      <c r="Y40" s="3"/>
      <c r="Z40" s="3"/>
      <c r="AA40" s="3"/>
      <c r="AH40" s="2"/>
      <c r="AI40" s="2"/>
      <c r="AJ40" s="2"/>
      <c r="AK40" s="2"/>
      <c r="AL40" s="2"/>
      <c r="AM40" s="2"/>
      <c r="AN40" s="2"/>
      <c r="AO40" s="2"/>
      <c r="AP40" s="2"/>
      <c r="AQ40" s="2"/>
      <c r="AR40" s="2"/>
    </row>
    <row r="41" spans="1:44" ht="12.75" customHeight="1" x14ac:dyDescent="0.2">
      <c r="A41" s="592" t="s">
        <v>112</v>
      </c>
      <c r="B41" s="559"/>
      <c r="C41" s="559" t="s">
        <v>113</v>
      </c>
      <c r="D41" s="559"/>
      <c r="E41" s="559" t="s">
        <v>70</v>
      </c>
      <c r="F41" s="559"/>
      <c r="G41" s="562" t="s">
        <v>114</v>
      </c>
      <c r="H41" s="562"/>
      <c r="I41" s="562"/>
      <c r="J41" s="562"/>
      <c r="K41" s="562"/>
      <c r="L41" s="562"/>
      <c r="M41" s="562"/>
      <c r="N41" s="559" t="s">
        <v>115</v>
      </c>
      <c r="O41" s="559" t="s">
        <v>116</v>
      </c>
      <c r="P41" s="559" t="s">
        <v>117</v>
      </c>
      <c r="Q41" s="559" t="s">
        <v>118</v>
      </c>
      <c r="R41" s="559" t="s">
        <v>119</v>
      </c>
      <c r="S41" s="559" t="s">
        <v>139</v>
      </c>
      <c r="T41" s="554" t="s">
        <v>191</v>
      </c>
      <c r="U41" s="539" t="s">
        <v>192</v>
      </c>
      <c r="V41" s="540"/>
      <c r="W41" s="541"/>
      <c r="X41" s="720" t="s">
        <v>194</v>
      </c>
      <c r="Y41" s="548" t="s">
        <v>106</v>
      </c>
      <c r="Z41" s="533" t="s">
        <v>2</v>
      </c>
      <c r="AA41" s="533"/>
      <c r="AB41" s="533"/>
      <c r="AC41" s="533"/>
      <c r="AD41" s="533"/>
      <c r="AE41" s="533"/>
      <c r="AF41" s="533"/>
      <c r="AG41" s="533"/>
      <c r="AH41" s="533"/>
      <c r="AI41" s="534"/>
    </row>
    <row r="42" spans="1:44" ht="34.5" customHeight="1" x14ac:dyDescent="0.2">
      <c r="A42" s="593"/>
      <c r="B42" s="560"/>
      <c r="C42" s="560"/>
      <c r="D42" s="560"/>
      <c r="E42" s="560"/>
      <c r="F42" s="560"/>
      <c r="G42" s="563"/>
      <c r="H42" s="563"/>
      <c r="I42" s="563"/>
      <c r="J42" s="563"/>
      <c r="K42" s="563"/>
      <c r="L42" s="563"/>
      <c r="M42" s="563"/>
      <c r="N42" s="560"/>
      <c r="O42" s="560"/>
      <c r="P42" s="560"/>
      <c r="Q42" s="560"/>
      <c r="R42" s="560"/>
      <c r="S42" s="560"/>
      <c r="T42" s="555"/>
      <c r="U42" s="542"/>
      <c r="V42" s="543"/>
      <c r="W42" s="544"/>
      <c r="X42" s="721"/>
      <c r="Y42" s="549"/>
      <c r="Z42" s="535"/>
      <c r="AA42" s="535"/>
      <c r="AB42" s="535"/>
      <c r="AC42" s="535"/>
      <c r="AD42" s="535"/>
      <c r="AE42" s="535"/>
      <c r="AF42" s="535"/>
      <c r="AG42" s="535"/>
      <c r="AH42" s="535"/>
      <c r="AI42" s="536"/>
    </row>
    <row r="43" spans="1:44" ht="82.5" customHeight="1" thickBot="1" x14ac:dyDescent="0.25">
      <c r="A43" s="594"/>
      <c r="B43" s="561"/>
      <c r="C43" s="561"/>
      <c r="D43" s="561"/>
      <c r="E43" s="561"/>
      <c r="F43" s="561"/>
      <c r="G43" s="564"/>
      <c r="H43" s="564"/>
      <c r="I43" s="564"/>
      <c r="J43" s="564"/>
      <c r="K43" s="564"/>
      <c r="L43" s="564"/>
      <c r="M43" s="564"/>
      <c r="N43" s="561"/>
      <c r="O43" s="561"/>
      <c r="P43" s="561"/>
      <c r="Q43" s="561"/>
      <c r="R43" s="561"/>
      <c r="S43" s="561"/>
      <c r="T43" s="176" t="s">
        <v>218</v>
      </c>
      <c r="U43" s="545"/>
      <c r="V43" s="546"/>
      <c r="W43" s="547"/>
      <c r="X43" s="381" t="s">
        <v>315</v>
      </c>
      <c r="Y43" s="550"/>
      <c r="Z43" s="537"/>
      <c r="AA43" s="537"/>
      <c r="AB43" s="537"/>
      <c r="AC43" s="537"/>
      <c r="AD43" s="537"/>
      <c r="AE43" s="537"/>
      <c r="AF43" s="537"/>
      <c r="AG43" s="537"/>
      <c r="AH43" s="537"/>
      <c r="AI43" s="538"/>
    </row>
    <row r="44" spans="1:44" ht="78.75" customHeight="1" x14ac:dyDescent="0.2">
      <c r="A44" s="582" t="s">
        <v>305</v>
      </c>
      <c r="B44" s="583"/>
      <c r="C44" s="584" t="str">
        <f>IFERROR(INDEX($E$7:$E$8,MATCH(A44,$B$7:$B$8,0)),"N.A.")</f>
        <v>LIDER</v>
      </c>
      <c r="D44" s="584"/>
      <c r="E44" s="584">
        <v>1</v>
      </c>
      <c r="F44" s="584"/>
      <c r="G44" s="585" t="s">
        <v>199</v>
      </c>
      <c r="H44" s="585"/>
      <c r="I44" s="585"/>
      <c r="J44" s="585"/>
      <c r="K44" s="585"/>
      <c r="L44" s="585"/>
      <c r="M44" s="585"/>
      <c r="N44" s="252" t="s">
        <v>204</v>
      </c>
      <c r="O44" s="339">
        <v>0.75</v>
      </c>
      <c r="P44" s="302">
        <v>38191</v>
      </c>
      <c r="Q44" s="302">
        <v>39835</v>
      </c>
      <c r="R44" s="303">
        <f>8848157100/358000</f>
        <v>24715.522625698322</v>
      </c>
      <c r="S44" s="340">
        <f>84.48+121.85</f>
        <v>206.32999999999998</v>
      </c>
      <c r="T44" s="341" t="str">
        <f>IF((R44)&gt;='Calificación Técnica'!$E$24,"CUMPLE","NO CUMPLE")</f>
        <v>CUMPLE</v>
      </c>
      <c r="U44" s="719" t="s">
        <v>76</v>
      </c>
      <c r="V44" s="719"/>
      <c r="W44" s="719"/>
      <c r="X44" s="714" t="str">
        <f>IF(($S$48)&gt;='Calificación Técnica'!C26,"CUMPLE","NO CUMPLE")</f>
        <v>CUMPLE</v>
      </c>
      <c r="Y44" s="372" t="s">
        <v>316</v>
      </c>
      <c r="Z44" s="722"/>
      <c r="AA44" s="723"/>
      <c r="AB44" s="723"/>
      <c r="AC44" s="723"/>
      <c r="AD44" s="723"/>
      <c r="AE44" s="723"/>
      <c r="AF44" s="723"/>
      <c r="AG44" s="723"/>
      <c r="AH44" s="723"/>
      <c r="AI44" s="724"/>
    </row>
    <row r="45" spans="1:44" s="305" customFormat="1" ht="79.5" customHeight="1" x14ac:dyDescent="0.2">
      <c r="A45" s="578" t="s">
        <v>305</v>
      </c>
      <c r="B45" s="579"/>
      <c r="C45" s="580" t="str">
        <f>IFERROR(INDEX($E$7:$E$8,MATCH(A45,$B$7:$B$8,0)),"N.A.")</f>
        <v>LIDER</v>
      </c>
      <c r="D45" s="580"/>
      <c r="E45" s="580">
        <v>2</v>
      </c>
      <c r="F45" s="580"/>
      <c r="G45" s="581" t="s">
        <v>202</v>
      </c>
      <c r="H45" s="581"/>
      <c r="I45" s="581"/>
      <c r="J45" s="581"/>
      <c r="K45" s="581"/>
      <c r="L45" s="581"/>
      <c r="M45" s="581"/>
      <c r="N45" s="252" t="s">
        <v>203</v>
      </c>
      <c r="O45" s="342">
        <v>0.5</v>
      </c>
      <c r="P45" s="302">
        <v>36829</v>
      </c>
      <c r="Q45" s="302">
        <v>41364</v>
      </c>
      <c r="R45" s="343">
        <f>11971512988/260100</f>
        <v>46026.578193002693</v>
      </c>
      <c r="S45" s="344">
        <v>62</v>
      </c>
      <c r="T45" s="341" t="str">
        <f>IF((R45)&gt;='Calificación Técnica'!$E$24,"CUMPLE","NO CUMPLE")</f>
        <v>CUMPLE</v>
      </c>
      <c r="U45" s="718" t="s">
        <v>76</v>
      </c>
      <c r="V45" s="718"/>
      <c r="W45" s="718"/>
      <c r="X45" s="715"/>
      <c r="Y45" s="304" t="s">
        <v>317</v>
      </c>
      <c r="Z45" s="686"/>
      <c r="AA45" s="687"/>
      <c r="AB45" s="687"/>
      <c r="AC45" s="687"/>
      <c r="AD45" s="687"/>
      <c r="AE45" s="687"/>
      <c r="AF45" s="687"/>
      <c r="AG45" s="687"/>
      <c r="AH45" s="687"/>
      <c r="AI45" s="688"/>
    </row>
    <row r="46" spans="1:44" ht="53.25" customHeight="1" x14ac:dyDescent="0.2">
      <c r="A46" s="578" t="s">
        <v>305</v>
      </c>
      <c r="B46" s="579"/>
      <c r="C46" s="580" t="str">
        <f>IFERROR(INDEX($E$7:$E$8,MATCH(A46,$B$7:$B$8,0)),"N.A.")</f>
        <v>LIDER</v>
      </c>
      <c r="D46" s="580"/>
      <c r="E46" s="580">
        <v>3</v>
      </c>
      <c r="F46" s="580"/>
      <c r="G46" s="581" t="s">
        <v>205</v>
      </c>
      <c r="H46" s="581"/>
      <c r="I46" s="581"/>
      <c r="J46" s="581"/>
      <c r="K46" s="581"/>
      <c r="L46" s="581"/>
      <c r="M46" s="581"/>
      <c r="N46" s="252" t="s">
        <v>200</v>
      </c>
      <c r="O46" s="342">
        <v>0.5</v>
      </c>
      <c r="P46" s="302">
        <v>34943</v>
      </c>
      <c r="Q46" s="302">
        <v>35370</v>
      </c>
      <c r="R46" s="343">
        <f>(598491493)/118933.5</f>
        <v>5032.1523624546489</v>
      </c>
      <c r="S46" s="435">
        <v>285</v>
      </c>
      <c r="T46" s="341" t="str">
        <f>IF((R46)&gt;='Calificación Técnica'!$E$24,"CUMPLE","NO CUMPLE")</f>
        <v>CUMPLE</v>
      </c>
      <c r="U46" s="718" t="s">
        <v>76</v>
      </c>
      <c r="V46" s="718"/>
      <c r="W46" s="718"/>
      <c r="X46" s="715"/>
      <c r="Y46" s="189" t="s">
        <v>318</v>
      </c>
      <c r="Z46" s="708"/>
      <c r="AA46" s="709"/>
      <c r="AB46" s="709"/>
      <c r="AC46" s="709"/>
      <c r="AD46" s="709"/>
      <c r="AE46" s="709"/>
      <c r="AF46" s="709"/>
      <c r="AG46" s="709"/>
      <c r="AH46" s="709"/>
      <c r="AI46" s="710"/>
    </row>
    <row r="47" spans="1:44" ht="66" customHeight="1" thickBot="1" x14ac:dyDescent="0.25">
      <c r="A47" s="574" t="s">
        <v>305</v>
      </c>
      <c r="B47" s="575"/>
      <c r="C47" s="576" t="str">
        <f>IFERROR(INDEX($E$7:$E$8,MATCH(A47,$B$7:$B$8,0)),"N.A.")</f>
        <v>LIDER</v>
      </c>
      <c r="D47" s="576"/>
      <c r="E47" s="576">
        <v>4</v>
      </c>
      <c r="F47" s="576"/>
      <c r="G47" s="577" t="s">
        <v>319</v>
      </c>
      <c r="H47" s="577"/>
      <c r="I47" s="577"/>
      <c r="J47" s="577"/>
      <c r="K47" s="577"/>
      <c r="L47" s="577"/>
      <c r="M47" s="577"/>
      <c r="N47" s="345" t="s">
        <v>204</v>
      </c>
      <c r="O47" s="346">
        <v>0.8</v>
      </c>
      <c r="P47" s="347">
        <v>39548</v>
      </c>
      <c r="Q47" s="347">
        <v>40886</v>
      </c>
      <c r="R47" s="348">
        <f>+(1316225088+432703267)/461500</f>
        <v>3789.660574214518</v>
      </c>
      <c r="S47" s="349">
        <f>41.7+7.28</f>
        <v>48.980000000000004</v>
      </c>
      <c r="T47" s="341" t="str">
        <f>IF((R47)&gt;='Calificación Técnica'!$E$24,"CUMPLE","NO CUMPLE")</f>
        <v>CUMPLE</v>
      </c>
      <c r="U47" s="717" t="s">
        <v>76</v>
      </c>
      <c r="V47" s="717"/>
      <c r="W47" s="717"/>
      <c r="X47" s="716"/>
      <c r="Y47" s="190" t="s">
        <v>320</v>
      </c>
      <c r="Z47" s="711"/>
      <c r="AA47" s="712"/>
      <c r="AB47" s="712"/>
      <c r="AC47" s="712"/>
      <c r="AD47" s="712"/>
      <c r="AE47" s="712"/>
      <c r="AF47" s="712"/>
      <c r="AG47" s="712"/>
      <c r="AH47" s="712"/>
      <c r="AI47" s="713"/>
    </row>
    <row r="48" spans="1:44" ht="13.5" thickBot="1" x14ac:dyDescent="0.25">
      <c r="N48" s="177"/>
      <c r="S48" s="175">
        <f>SUM(S44:S47)</f>
        <v>602.30999999999995</v>
      </c>
      <c r="T48" s="174" t="s">
        <v>76</v>
      </c>
      <c r="U48" s="2"/>
      <c r="V48" s="2"/>
      <c r="W48" s="2"/>
      <c r="X48" s="2"/>
      <c r="AD48" s="1"/>
      <c r="AE48" s="1"/>
      <c r="AF48" s="1"/>
      <c r="AG48" s="1"/>
    </row>
    <row r="49" spans="14:14" x14ac:dyDescent="0.2">
      <c r="N49" s="177"/>
    </row>
  </sheetData>
  <sheetProtection formatColumns="0" formatRows="0"/>
  <mergeCells count="155">
    <mergeCell ref="Z46:AI46"/>
    <mergeCell ref="Z47:AI47"/>
    <mergeCell ref="X44:X47"/>
    <mergeCell ref="U47:W47"/>
    <mergeCell ref="U45:W45"/>
    <mergeCell ref="U46:W46"/>
    <mergeCell ref="U44:W44"/>
    <mergeCell ref="X41:X42"/>
    <mergeCell ref="Z44:AI44"/>
    <mergeCell ref="A4:A5"/>
    <mergeCell ref="B4:B5"/>
    <mergeCell ref="C4:F5"/>
    <mergeCell ref="G4:H5"/>
    <mergeCell ref="I4:N4"/>
    <mergeCell ref="Z45:AI45"/>
    <mergeCell ref="O4:O5"/>
    <mergeCell ref="P4:U5"/>
    <mergeCell ref="I5:J5"/>
    <mergeCell ref="C6:D6"/>
    <mergeCell ref="E6:F6"/>
    <mergeCell ref="G6:M6"/>
    <mergeCell ref="P6:U6"/>
    <mergeCell ref="R25:Y25"/>
    <mergeCell ref="R26:Y26"/>
    <mergeCell ref="C7:D7"/>
    <mergeCell ref="E7:F7"/>
    <mergeCell ref="G7:H7"/>
    <mergeCell ref="I7:J7"/>
    <mergeCell ref="P7:U7"/>
    <mergeCell ref="C8:D8"/>
    <mergeCell ref="E8:F8"/>
    <mergeCell ref="G8:H8"/>
    <mergeCell ref="I8:J8"/>
    <mergeCell ref="P8:U8"/>
    <mergeCell ref="C9:D9"/>
    <mergeCell ref="E9:F9"/>
    <mergeCell ref="G9:H9"/>
    <mergeCell ref="I9:J9"/>
    <mergeCell ref="P9:U9"/>
    <mergeCell ref="C10:D10"/>
    <mergeCell ref="E10:F10"/>
    <mergeCell ref="G10:H10"/>
    <mergeCell ref="I10:J10"/>
    <mergeCell ref="P10:U10"/>
    <mergeCell ref="L14:Q15"/>
    <mergeCell ref="C16:D16"/>
    <mergeCell ref="E16:F16"/>
    <mergeCell ref="L16:Q16"/>
    <mergeCell ref="C17:D17"/>
    <mergeCell ref="E17:F17"/>
    <mergeCell ref="G17:H17"/>
    <mergeCell ref="L17:Q17"/>
    <mergeCell ref="A14:A15"/>
    <mergeCell ref="B14:B15"/>
    <mergeCell ref="C14:F15"/>
    <mergeCell ref="G14:H15"/>
    <mergeCell ref="I14:J14"/>
    <mergeCell ref="K14:K15"/>
    <mergeCell ref="C20:D20"/>
    <mergeCell ref="E20:F20"/>
    <mergeCell ref="G20:H20"/>
    <mergeCell ref="L20:Q20"/>
    <mergeCell ref="A23:B23"/>
    <mergeCell ref="C23:D23"/>
    <mergeCell ref="E23:F23"/>
    <mergeCell ref="G23:K23"/>
    <mergeCell ref="C18:D18"/>
    <mergeCell ref="E18:F18"/>
    <mergeCell ref="G18:H18"/>
    <mergeCell ref="L18:Q18"/>
    <mergeCell ref="C19:D19"/>
    <mergeCell ref="E19:F19"/>
    <mergeCell ref="G19:H19"/>
    <mergeCell ref="L19:Q19"/>
    <mergeCell ref="R23:Y23"/>
    <mergeCell ref="A24:B24"/>
    <mergeCell ref="C24:D24"/>
    <mergeCell ref="E24:F24"/>
    <mergeCell ref="G24:K24"/>
    <mergeCell ref="R24:Y24"/>
    <mergeCell ref="P24:P26"/>
    <mergeCell ref="A25:B25"/>
    <mergeCell ref="C25:D25"/>
    <mergeCell ref="E25:F25"/>
    <mergeCell ref="U30:AA30"/>
    <mergeCell ref="G25:K25"/>
    <mergeCell ref="A26:B26"/>
    <mergeCell ref="C26:D26"/>
    <mergeCell ref="E26:F26"/>
    <mergeCell ref="G26:K26"/>
    <mergeCell ref="A30:B30"/>
    <mergeCell ref="C30:D30"/>
    <mergeCell ref="E30:F30"/>
    <mergeCell ref="G30:K30"/>
    <mergeCell ref="A35:B35"/>
    <mergeCell ref="U32:AA32"/>
    <mergeCell ref="C31:D31"/>
    <mergeCell ref="E31:F31"/>
    <mergeCell ref="E46:F46"/>
    <mergeCell ref="G46:M46"/>
    <mergeCell ref="A41:B43"/>
    <mergeCell ref="C41:D43"/>
    <mergeCell ref="E41:F43"/>
    <mergeCell ref="A31:B31"/>
    <mergeCell ref="A34:B34"/>
    <mergeCell ref="E36:F36"/>
    <mergeCell ref="G36:K36"/>
    <mergeCell ref="G35:K35"/>
    <mergeCell ref="U36:AA36"/>
    <mergeCell ref="U31:AA31"/>
    <mergeCell ref="A32:B32"/>
    <mergeCell ref="C32:D32"/>
    <mergeCell ref="A36:B36"/>
    <mergeCell ref="C34:D34"/>
    <mergeCell ref="U34:AA34"/>
    <mergeCell ref="E32:F32"/>
    <mergeCell ref="A33:B33"/>
    <mergeCell ref="C33:D33"/>
    <mergeCell ref="A44:B44"/>
    <mergeCell ref="C44:D44"/>
    <mergeCell ref="E44:F44"/>
    <mergeCell ref="G44:M44"/>
    <mergeCell ref="R41:R43"/>
    <mergeCell ref="P41:P43"/>
    <mergeCell ref="Q41:Q43"/>
    <mergeCell ref="N41:N43"/>
    <mergeCell ref="C36:D36"/>
    <mergeCell ref="A47:B47"/>
    <mergeCell ref="C47:D47"/>
    <mergeCell ref="E47:F47"/>
    <mergeCell ref="G47:M47"/>
    <mergeCell ref="A45:B45"/>
    <mergeCell ref="C45:D45"/>
    <mergeCell ref="E45:F45"/>
    <mergeCell ref="G45:M45"/>
    <mergeCell ref="A46:B46"/>
    <mergeCell ref="C46:D46"/>
    <mergeCell ref="C35:D35"/>
    <mergeCell ref="E35:F35"/>
    <mergeCell ref="Z41:AI43"/>
    <mergeCell ref="U41:W43"/>
    <mergeCell ref="Y41:Y43"/>
    <mergeCell ref="U35:AA35"/>
    <mergeCell ref="T41:T42"/>
    <mergeCell ref="S31:S36"/>
    <mergeCell ref="O41:O43"/>
    <mergeCell ref="G41:M43"/>
    <mergeCell ref="S41:S43"/>
    <mergeCell ref="E33:F33"/>
    <mergeCell ref="U33:AA33"/>
    <mergeCell ref="E34:F34"/>
    <mergeCell ref="G34:K34"/>
    <mergeCell ref="G33:K33"/>
    <mergeCell ref="G32:K32"/>
    <mergeCell ref="G31:K31"/>
  </mergeCells>
  <conditionalFormatting sqref="N6 R31:R36">
    <cfRule type="cellIs" dxfId="33" priority="10" stopIfTrue="1" operator="equal">
      <formula>"NO HABIL"</formula>
    </cfRule>
  </conditionalFormatting>
  <conditionalFormatting sqref="P24">
    <cfRule type="cellIs" dxfId="32" priority="9" stopIfTrue="1" operator="equal">
      <formula>"NO HABIL"</formula>
    </cfRule>
  </conditionalFormatting>
  <conditionalFormatting sqref="J16">
    <cfRule type="cellIs" dxfId="31" priority="8" stopIfTrue="1" operator="equal">
      <formula>"NO HABIL"</formula>
    </cfRule>
  </conditionalFormatting>
  <conditionalFormatting sqref="T44:T47">
    <cfRule type="cellIs" dxfId="30" priority="5" stopIfTrue="1" operator="equal">
      <formula>"NO HABIL"</formula>
    </cfRule>
  </conditionalFormatting>
  <conditionalFormatting sqref="S31">
    <cfRule type="cellIs" dxfId="29" priority="1" stopIfTrue="1" operator="equal">
      <formula>"NO HABIL"</formula>
    </cfRule>
  </conditionalFormatting>
  <dataValidations count="4">
    <dataValidation type="list" allowBlank="1" showInputMessage="1" showErrorMessage="1" sqref="M10 K7:L10">
      <formula1>$AJ$7:$AJ$8</formula1>
    </dataValidation>
    <dataValidation type="list" allowBlank="1" showInputMessage="1" showErrorMessage="1" sqref="G7:H10">
      <formula1>$AI$7:$AI$8</formula1>
    </dataValidation>
    <dataValidation type="list" allowBlank="1" showInputMessage="1" showErrorMessage="1" sqref="A31:B36 B24 A24:A26">
      <formula1>$B$7:$B$9</formula1>
    </dataValidation>
    <dataValidation type="list" allowBlank="1" showInputMessage="1" showErrorMessage="1" sqref="A44:B47">
      <formula1>$B$7:$B$8</formula1>
    </dataValidation>
  </dataValidations>
  <printOptions horizontalCentered="1" verticalCentered="1"/>
  <pageMargins left="0.23622047244094491" right="0.23622047244094491" top="0.78740157480314965" bottom="0.35433070866141736" header="0.51181102362204722" footer="0.51181102362204722"/>
  <pageSetup paperSize="5" scale="40" orientation="landscape" r:id="rId1"/>
  <headerFooter alignWithMargins="0"/>
  <rowBreaks count="2" manualBreakCount="2">
    <brk id="27" max="26" man="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Normal="100" zoomScaleSheetLayoutView="100" workbookViewId="0">
      <selection activeCell="D9" sqref="D9"/>
    </sheetView>
  </sheetViews>
  <sheetFormatPr baseColWidth="10" defaultRowHeight="12.75" x14ac:dyDescent="0.2"/>
  <cols>
    <col min="2" max="2" width="20" customWidth="1"/>
    <col min="3" max="3" width="15.5703125" customWidth="1"/>
    <col min="4" max="4" width="17.85546875" customWidth="1"/>
  </cols>
  <sheetData>
    <row r="1" spans="1:4" ht="13.5" thickBot="1" x14ac:dyDescent="0.25"/>
    <row r="2" spans="1:4" x14ac:dyDescent="0.2">
      <c r="A2" s="215" t="s">
        <v>140</v>
      </c>
      <c r="B2" s="216"/>
      <c r="C2" s="216"/>
      <c r="D2" s="217"/>
    </row>
    <row r="3" spans="1:4" ht="66" customHeight="1" x14ac:dyDescent="0.2">
      <c r="A3" s="161" t="s">
        <v>141</v>
      </c>
      <c r="B3" s="159" t="s">
        <v>149</v>
      </c>
      <c r="C3" s="159" t="s">
        <v>142</v>
      </c>
      <c r="D3" s="306" t="str">
        <f>'P1'!B6</f>
        <v>CONSORCIO CONCESION VIAL NORTE SANTANDER</v>
      </c>
    </row>
    <row r="4" spans="1:4" x14ac:dyDescent="0.2">
      <c r="A4" s="727" t="s">
        <v>143</v>
      </c>
      <c r="B4" s="728">
        <v>100</v>
      </c>
      <c r="C4" s="158">
        <v>1</v>
      </c>
      <c r="D4" s="729">
        <v>900</v>
      </c>
    </row>
    <row r="5" spans="1:4" x14ac:dyDescent="0.2">
      <c r="A5" s="727"/>
      <c r="B5" s="728"/>
      <c r="C5" s="158">
        <v>2</v>
      </c>
      <c r="D5" s="729"/>
    </row>
    <row r="6" spans="1:4" x14ac:dyDescent="0.2">
      <c r="A6" s="727"/>
      <c r="B6" s="728"/>
      <c r="C6" s="158">
        <v>3</v>
      </c>
      <c r="D6" s="729"/>
    </row>
    <row r="7" spans="1:4" x14ac:dyDescent="0.2">
      <c r="A7" s="727"/>
      <c r="B7" s="728"/>
      <c r="C7" s="416">
        <v>4</v>
      </c>
      <c r="D7" s="729"/>
    </row>
    <row r="8" spans="1:4" ht="13.5" thickBot="1" x14ac:dyDescent="0.25">
      <c r="A8" s="725" t="s">
        <v>144</v>
      </c>
      <c r="B8" s="726"/>
      <c r="C8" s="726"/>
      <c r="D8" s="307">
        <f>D4+B4</f>
        <v>1000</v>
      </c>
    </row>
  </sheetData>
  <mergeCells count="4">
    <mergeCell ref="A8:C8"/>
    <mergeCell ref="A4:A7"/>
    <mergeCell ref="B4:B7"/>
    <mergeCell ref="D4:D7"/>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X48"/>
  <sheetViews>
    <sheetView view="pageBreakPreview" topLeftCell="A27" zoomScale="25" zoomScaleNormal="80" zoomScaleSheetLayoutView="25" workbookViewId="0">
      <selection activeCell="Z47" sqref="Z47:AA47"/>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6.85546875" style="1" customWidth="1"/>
    <col min="7" max="7" width="6.140625" style="1" customWidth="1"/>
    <col min="8" max="8" width="5.7109375" style="1" customWidth="1"/>
    <col min="9" max="9" width="15.28515625" style="1" customWidth="1"/>
    <col min="10" max="10" width="15.7109375" style="1" customWidth="1"/>
    <col min="11" max="11" width="15.28515625" style="1" customWidth="1"/>
    <col min="12" max="12" width="21.140625" style="1" customWidth="1"/>
    <col min="13" max="13" width="25.140625" style="1" bestFit="1" customWidth="1"/>
    <col min="14" max="17" width="15.42578125" style="1" customWidth="1"/>
    <col min="18" max="18" width="19.28515625" style="1" customWidth="1"/>
    <col min="19" max="19" width="18.7109375" style="1" customWidth="1"/>
    <col min="20" max="20" width="36.42578125" style="3" customWidth="1"/>
    <col min="21" max="21" width="13.7109375" style="3" customWidth="1"/>
    <col min="22" max="23" width="14.7109375" style="3" customWidth="1"/>
    <col min="24" max="24" width="37" style="3" customWidth="1"/>
    <col min="25" max="30" width="14.85546875" style="2" customWidth="1"/>
    <col min="31" max="31" width="12.42578125" style="2" bestFit="1" customWidth="1"/>
    <col min="32" max="32" width="14.85546875" style="2" customWidth="1"/>
    <col min="33" max="33" width="16.42578125" style="2" customWidth="1"/>
    <col min="34" max="34" width="16.85546875" style="2" customWidth="1"/>
    <col min="35" max="35" width="17.28515625" style="2" customWidth="1"/>
    <col min="36" max="36" width="17" style="2" customWidth="1"/>
    <col min="37" max="37" width="17.28515625" style="2" customWidth="1"/>
    <col min="38" max="38" width="16.7109375" style="2" customWidth="1"/>
    <col min="39" max="39" width="16.85546875" style="1" customWidth="1"/>
    <col min="40" max="40" width="16.5703125" style="1" customWidth="1"/>
    <col min="41" max="41" width="16.42578125" style="1" customWidth="1"/>
    <col min="42" max="42" width="2.28515625" style="1" bestFit="1" customWidth="1"/>
    <col min="43" max="43" width="5" style="1" bestFit="1" customWidth="1"/>
    <col min="44" max="44" width="2.28515625" style="1" bestFit="1" customWidth="1"/>
    <col min="45" max="45" width="5" style="1" bestFit="1" customWidth="1"/>
    <col min="46" max="46" width="5.5703125" style="1" bestFit="1" customWidth="1"/>
    <col min="47" max="47" width="6.5703125" style="1" bestFit="1" customWidth="1"/>
    <col min="48" max="48" width="2.42578125" style="1" bestFit="1" customWidth="1"/>
    <col min="49" max="49" width="8.7109375" style="1" bestFit="1" customWidth="1"/>
    <col min="50" max="50" width="11.42578125" style="1" bestFit="1" customWidth="1"/>
    <col min="51" max="16384" width="11.5703125" style="1"/>
  </cols>
  <sheetData>
    <row r="1" spans="1:50" ht="21" customHeight="1" x14ac:dyDescent="0.2">
      <c r="A1" s="90" t="s">
        <v>146</v>
      </c>
    </row>
    <row r="2" spans="1:50" ht="8.25" customHeight="1" x14ac:dyDescent="0.2"/>
    <row r="3" spans="1:50" ht="22.5" customHeight="1" thickBot="1" x14ac:dyDescent="0.25">
      <c r="A3" s="74" t="s">
        <v>135</v>
      </c>
      <c r="B3" s="73"/>
      <c r="C3" s="73"/>
      <c r="D3" s="73"/>
      <c r="E3" s="73"/>
      <c r="F3" s="73"/>
      <c r="G3" s="73"/>
      <c r="H3" s="73"/>
      <c r="I3" s="73"/>
      <c r="J3" s="73"/>
      <c r="K3" s="73"/>
      <c r="L3" s="73"/>
      <c r="M3" s="73"/>
      <c r="N3" s="73"/>
      <c r="O3" s="73"/>
      <c r="P3" s="73"/>
      <c r="Q3" s="73"/>
      <c r="R3" s="73"/>
      <c r="S3" s="79"/>
      <c r="T3" s="79"/>
      <c r="U3" s="79"/>
      <c r="V3" s="79"/>
      <c r="W3" s="79"/>
      <c r="X3" s="79"/>
      <c r="Y3" s="79"/>
      <c r="Z3" s="79"/>
      <c r="AA3" s="79"/>
      <c r="AB3" s="79"/>
      <c r="AC3" s="79"/>
      <c r="AD3" s="79"/>
      <c r="AE3" s="79"/>
      <c r="AF3" s="79"/>
      <c r="AG3" s="79"/>
      <c r="AH3" s="79"/>
      <c r="AI3" s="79"/>
      <c r="AJ3" s="79"/>
      <c r="AK3" s="79"/>
      <c r="AL3" s="79"/>
    </row>
    <row r="4" spans="1:50" ht="24" customHeight="1" x14ac:dyDescent="0.2">
      <c r="A4" s="676" t="s">
        <v>4</v>
      </c>
      <c r="B4" s="678" t="s">
        <v>71</v>
      </c>
      <c r="C4" s="680" t="s">
        <v>123</v>
      </c>
      <c r="D4" s="681"/>
      <c r="E4" s="681"/>
      <c r="F4" s="682"/>
      <c r="G4" s="680" t="s">
        <v>68</v>
      </c>
      <c r="H4" s="682"/>
      <c r="I4" s="680" t="s">
        <v>134</v>
      </c>
      <c r="J4" s="681"/>
      <c r="K4" s="681"/>
      <c r="L4" s="681"/>
      <c r="M4" s="681"/>
      <c r="N4" s="682"/>
      <c r="O4" s="689" t="s">
        <v>106</v>
      </c>
      <c r="P4" s="691" t="s">
        <v>2</v>
      </c>
      <c r="Q4" s="692"/>
      <c r="R4" s="692"/>
      <c r="S4" s="692"/>
      <c r="T4" s="692"/>
      <c r="U4" s="693"/>
      <c r="V4" s="84"/>
      <c r="W4" s="84"/>
      <c r="X4" s="84"/>
      <c r="Y4" s="85"/>
      <c r="Z4" s="85"/>
      <c r="AA4" s="85"/>
      <c r="AB4" s="138" t="s">
        <v>129</v>
      </c>
      <c r="AC4" s="85" t="s">
        <v>130</v>
      </c>
      <c r="AD4" s="85" t="s">
        <v>131</v>
      </c>
      <c r="AE4" s="85" t="s">
        <v>132</v>
      </c>
      <c r="AF4" s="85" t="s">
        <v>137</v>
      </c>
      <c r="AG4" s="153" t="s">
        <v>138</v>
      </c>
      <c r="AH4" s="85"/>
      <c r="AI4" s="85"/>
      <c r="AJ4" s="85"/>
      <c r="AK4" s="85"/>
      <c r="AL4" s="85"/>
    </row>
    <row r="5" spans="1:50" ht="103.5" customHeight="1" x14ac:dyDescent="0.2">
      <c r="A5" s="677" t="s">
        <v>1</v>
      </c>
      <c r="B5" s="679"/>
      <c r="C5" s="683"/>
      <c r="D5" s="684"/>
      <c r="E5" s="684"/>
      <c r="F5" s="685"/>
      <c r="G5" s="683"/>
      <c r="H5" s="685"/>
      <c r="I5" s="697" t="s">
        <v>124</v>
      </c>
      <c r="J5" s="698"/>
      <c r="K5" s="131" t="s">
        <v>109</v>
      </c>
      <c r="L5" s="131" t="s">
        <v>165</v>
      </c>
      <c r="M5" s="131" t="s">
        <v>148</v>
      </c>
      <c r="N5" s="131" t="s">
        <v>67</v>
      </c>
      <c r="O5" s="690"/>
      <c r="P5" s="694"/>
      <c r="Q5" s="695"/>
      <c r="R5" s="695"/>
      <c r="S5" s="695"/>
      <c r="T5" s="695"/>
      <c r="U5" s="696"/>
      <c r="V5" s="82"/>
      <c r="W5" s="82"/>
      <c r="X5" s="82"/>
      <c r="Y5" s="86"/>
      <c r="Z5" s="86"/>
      <c r="AA5" s="86"/>
      <c r="AB5" s="85">
        <v>1</v>
      </c>
      <c r="AC5" s="139">
        <v>7067480705</v>
      </c>
      <c r="AD5" s="139">
        <f>+AC5*1.5</f>
        <v>10601221057.5</v>
      </c>
      <c r="AE5" s="141">
        <f>+AD5/566700</f>
        <v>18706.936752249869</v>
      </c>
      <c r="AF5" s="141">
        <f>+AC5/566700</f>
        <v>12471.291168166579</v>
      </c>
      <c r="AG5" s="154">
        <v>163.21</v>
      </c>
      <c r="AH5" s="86"/>
      <c r="AI5" s="86"/>
      <c r="AJ5" s="86"/>
      <c r="AK5" s="86"/>
      <c r="AL5" s="86"/>
    </row>
    <row r="6" spans="1:50" ht="27" customHeight="1" thickBot="1" x14ac:dyDescent="0.25">
      <c r="A6" s="236">
        <v>2</v>
      </c>
      <c r="B6" s="103" t="str">
        <f>INDEX(PROPONENTES!B1:B8,MATCH(A6,PROPONENTES!A1:A8,0))</f>
        <v>CONSORCIO EPSILON CUCUTA</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8"/>
      <c r="V6" s="83"/>
      <c r="W6" s="83"/>
      <c r="X6" s="83"/>
      <c r="Y6" s="80"/>
      <c r="Z6" s="80"/>
      <c r="AA6" s="80"/>
      <c r="AB6" s="85">
        <v>2</v>
      </c>
      <c r="AC6" s="139">
        <v>4386497161</v>
      </c>
      <c r="AD6" s="140" t="e">
        <f>#N/A</f>
        <v>#N/A</v>
      </c>
      <c r="AE6" s="141" t="e">
        <f>#N/A</f>
        <v>#N/A</v>
      </c>
      <c r="AF6" s="141">
        <f>+AC6/566700</f>
        <v>7740.422023998588</v>
      </c>
      <c r="AG6" s="154">
        <v>297.10000000000002</v>
      </c>
      <c r="AH6" s="80"/>
      <c r="AI6" s="80"/>
      <c r="AJ6" s="80"/>
      <c r="AK6" s="80"/>
      <c r="AL6" s="80"/>
    </row>
    <row r="7" spans="1:50" ht="30.75" customHeight="1" thickTop="1" x14ac:dyDescent="0.2">
      <c r="A7" s="105" t="str">
        <f>CONCATENATE($A$6,"A")</f>
        <v>2A</v>
      </c>
      <c r="B7" s="106" t="str">
        <f>IFERROR(INDEX(PROPONENTES!$F$1:$F$23,MATCH(A7,PROPONENTES!$E$1:$E$23,0)),"")</f>
        <v>PROYECTOS INTERVENTORIAS LTDA "PI LTDA"</v>
      </c>
      <c r="C7" s="707">
        <f>IFERROR(INDEX([3]PROPONENTES!$H$1:$H$26,MATCH(A7,[3]PROPONENTES!$E$1:$E$26,0)),"")</f>
        <v>0.6</v>
      </c>
      <c r="D7" s="707"/>
      <c r="E7" s="638" t="str">
        <f>IF(B7="","N. A.",IF(C7&lt;=40%,"NO LIDER","LIDER"))</f>
        <v>LIDER</v>
      </c>
      <c r="F7" s="638"/>
      <c r="G7" s="670" t="s">
        <v>77</v>
      </c>
      <c r="H7" s="670"/>
      <c r="I7" s="638" t="str">
        <f>IF(B7="","N.A.",IF(OR(G7="E"),"APLICA FORMATO 1","APLICA RUP"))</f>
        <v>APLICA RUP</v>
      </c>
      <c r="J7" s="638"/>
      <c r="K7" s="227" t="s">
        <v>78</v>
      </c>
      <c r="L7" s="227" t="s">
        <v>78</v>
      </c>
      <c r="M7" s="88" t="s">
        <v>108</v>
      </c>
      <c r="N7" s="97" t="str">
        <f>IF(B7="","N. A.",IF(AND(K7="SI",L7="SI",M7="n.a."),"HABIL","NO HABIL"))</f>
        <v>HABIL</v>
      </c>
      <c r="O7" s="229">
        <v>32</v>
      </c>
      <c r="P7" s="666" t="s">
        <v>163</v>
      </c>
      <c r="Q7" s="667"/>
      <c r="R7" s="667"/>
      <c r="S7" s="667"/>
      <c r="T7" s="667"/>
      <c r="U7" s="668"/>
      <c r="V7" s="83"/>
      <c r="W7" s="83"/>
      <c r="X7" s="83"/>
      <c r="Y7" s="81"/>
      <c r="Z7" s="81"/>
      <c r="AA7" s="81"/>
      <c r="AB7" s="85">
        <v>3</v>
      </c>
      <c r="AC7" s="139">
        <v>3714537836</v>
      </c>
      <c r="AD7" s="140" t="e">
        <f>#N/A</f>
        <v>#N/A</v>
      </c>
      <c r="AE7" s="141" t="e">
        <f>#N/A</f>
        <v>#N/A</v>
      </c>
      <c r="AF7" s="141" t="e">
        <f>#N/A</f>
        <v>#N/A</v>
      </c>
      <c r="AG7" s="154">
        <v>38.299999999999997</v>
      </c>
      <c r="AH7" s="81"/>
      <c r="AI7" s="81"/>
      <c r="AJ7" s="81"/>
      <c r="AK7" s="81"/>
      <c r="AL7" s="81"/>
      <c r="AN7" s="88" t="s">
        <v>77</v>
      </c>
      <c r="AO7" s="88" t="s">
        <v>78</v>
      </c>
      <c r="AP7" s="88" t="e">
        <f>IF(#REF!="HABIL",1,0)</f>
        <v>#REF!</v>
      </c>
      <c r="AQ7" s="89" t="e">
        <f>SUM(AP7:AP10)</f>
        <v>#REF!</v>
      </c>
      <c r="AR7" s="88" t="e">
        <f>IF(#REF!="HABIL",1,0)</f>
        <v>#REF!</v>
      </c>
      <c r="AS7" s="89" t="e">
        <f>SUM(AR7:AR10)</f>
        <v>#REF!</v>
      </c>
      <c r="AT7" s="88">
        <f>IF(B7="",0,IF(G7="O",17420*C7,0))</f>
        <v>10452</v>
      </c>
      <c r="AU7" s="88">
        <f>SUM(AT7:AT10)</f>
        <v>17420</v>
      </c>
      <c r="AV7" s="88" t="s">
        <v>74</v>
      </c>
      <c r="AW7" s="88" t="s">
        <v>76</v>
      </c>
      <c r="AX7" s="88">
        <v>0</v>
      </c>
    </row>
    <row r="8" spans="1:50" ht="29.25" customHeight="1" x14ac:dyDescent="0.2">
      <c r="A8" s="107" t="str">
        <f>CONCATENATE($A$6,"B")</f>
        <v>2B</v>
      </c>
      <c r="B8" s="108" t="str">
        <f>IFERROR(INDEX(PROPONENTES!$F$1:$F$23,MATCH(A8,PROPONENTES!$E$1:$E$23,0)),"")</f>
        <v>B &amp; C S.A.</v>
      </c>
      <c r="C8" s="707">
        <f>IFERROR(INDEX([3]PROPONENTES!$H$1:$H$26,MATCH(A8,[3]PROPONENTES!$E$1:$E$26,0)),"")</f>
        <v>0.3</v>
      </c>
      <c r="D8" s="707"/>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47</v>
      </c>
      <c r="P8" s="666" t="s">
        <v>163</v>
      </c>
      <c r="Q8" s="667"/>
      <c r="R8" s="667"/>
      <c r="S8" s="667"/>
      <c r="T8" s="667"/>
      <c r="U8" s="668"/>
      <c r="V8" s="83"/>
      <c r="W8" s="83"/>
      <c r="X8" s="83"/>
      <c r="Y8" s="81"/>
      <c r="Z8" s="81"/>
      <c r="AA8" s="81"/>
      <c r="AB8" s="85">
        <v>4</v>
      </c>
      <c r="AC8" s="139">
        <v>2398084008</v>
      </c>
      <c r="AD8" s="140" t="e">
        <f>#N/A</f>
        <v>#N/A</v>
      </c>
      <c r="AE8" s="141" t="e">
        <f>#N/A</f>
        <v>#N/A</v>
      </c>
      <c r="AF8" s="141" t="e">
        <f>#N/A</f>
        <v>#N/A</v>
      </c>
      <c r="AG8" s="154">
        <v>54.4</v>
      </c>
      <c r="AH8" s="81"/>
      <c r="AI8" s="81"/>
      <c r="AJ8" s="81"/>
      <c r="AK8" s="81"/>
      <c r="AL8" s="81"/>
      <c r="AN8" s="88" t="s">
        <v>79</v>
      </c>
      <c r="AO8" s="88" t="s">
        <v>111</v>
      </c>
      <c r="AP8" s="88" t="e">
        <f>IF(#REF!="HABIL",1,0)</f>
        <v>#REF!</v>
      </c>
      <c r="AQ8" s="89"/>
      <c r="AR8" s="88" t="e">
        <f>IF(#REF!="HABIL",1,0)</f>
        <v>#REF!</v>
      </c>
      <c r="AS8" s="88"/>
      <c r="AT8" s="88">
        <f>IF(B8="",0,IF(G8="O",17420*C8,0))</f>
        <v>5226</v>
      </c>
      <c r="AV8" s="88" t="s">
        <v>75</v>
      </c>
      <c r="AW8" s="88" t="s">
        <v>108</v>
      </c>
      <c r="AX8" s="88">
        <v>150</v>
      </c>
    </row>
    <row r="9" spans="1:50" ht="27.75" customHeight="1" x14ac:dyDescent="0.2">
      <c r="A9" s="107" t="str">
        <f>CONCATENATE($A$6,"C")</f>
        <v>2C</v>
      </c>
      <c r="B9" s="108" t="str">
        <f>IFERROR(INDEX(PROPONENTES!$F$1:$F$23,MATCH(A9,PROPONENTES!$E$1:$E$23,0)),"")</f>
        <v>MARTHA CECILIA ORDOÑEZ OCAMPO</v>
      </c>
      <c r="C9" s="707">
        <f>IFERROR(INDEX([3]PROPONENTES!$H$1:$H$26,MATCH(A9,[3]PROPONENTES!$E$1:$E$26,0)),"")</f>
        <v>0.1</v>
      </c>
      <c r="D9" s="707"/>
      <c r="E9" s="638" t="str">
        <f>IF(B9="","N. A.",IF(C9&lt;=40%,"NO LIDER","LIDER"))</f>
        <v>NO LIDER</v>
      </c>
      <c r="F9" s="638"/>
      <c r="G9" s="670" t="s">
        <v>77</v>
      </c>
      <c r="H9" s="670"/>
      <c r="I9" s="639" t="str">
        <f>IF(B9="","N.A.",IF(OR(G9="E"),"APLICA FORMATO 1","APLICA RUP"))</f>
        <v>APLICA RUP</v>
      </c>
      <c r="J9" s="639"/>
      <c r="K9" s="168" t="s">
        <v>78</v>
      </c>
      <c r="L9" s="168" t="s">
        <v>78</v>
      </c>
      <c r="M9" s="250" t="s">
        <v>108</v>
      </c>
      <c r="N9" s="48" t="str">
        <f>IF(B9="","N. A.",IF(AND(K9="SI",L9="SI",M9="n.a."),"HABIL","NO HABIL"))</f>
        <v>HABIL</v>
      </c>
      <c r="O9" s="224">
        <v>54</v>
      </c>
      <c r="P9" s="666" t="s">
        <v>163</v>
      </c>
      <c r="Q9" s="667"/>
      <c r="R9" s="667"/>
      <c r="S9" s="667"/>
      <c r="T9" s="667"/>
      <c r="U9" s="668"/>
      <c r="V9" s="83"/>
      <c r="W9" s="83"/>
      <c r="X9" s="83"/>
      <c r="Y9" s="81"/>
      <c r="Z9" s="81"/>
      <c r="AA9" s="81"/>
      <c r="AB9" s="85">
        <v>5</v>
      </c>
      <c r="AC9" s="139">
        <v>1779028594.4000001</v>
      </c>
      <c r="AD9" s="140" t="e">
        <f>#N/A</f>
        <v>#N/A</v>
      </c>
      <c r="AE9" s="141" t="e">
        <f>#N/A</f>
        <v>#N/A</v>
      </c>
      <c r="AF9" s="141" t="e">
        <f>#N/A</f>
        <v>#N/A</v>
      </c>
      <c r="AG9" s="154">
        <v>82.04</v>
      </c>
      <c r="AH9" s="81"/>
      <c r="AI9" s="81"/>
      <c r="AJ9" s="81"/>
      <c r="AK9" s="81"/>
      <c r="AL9" s="81"/>
      <c r="AN9" s="88"/>
      <c r="AO9" s="88"/>
      <c r="AP9" s="88" t="e">
        <f>IF(#REF!="HABIL",1,0)</f>
        <v>#REF!</v>
      </c>
      <c r="AQ9" s="89"/>
      <c r="AR9" s="88" t="e">
        <f>IF(#REF!="HABIL",1,0)</f>
        <v>#REF!</v>
      </c>
      <c r="AS9" s="88"/>
      <c r="AT9" s="88">
        <f>IF(B9="",0,IF(G9="O",17420*C9,0))</f>
        <v>1742</v>
      </c>
      <c r="AX9" s="88" t="s">
        <v>120</v>
      </c>
    </row>
    <row r="10" spans="1:50" ht="29.25" customHeight="1" thickBot="1" x14ac:dyDescent="0.25">
      <c r="A10" s="109"/>
      <c r="B10" s="110" t="str">
        <f>IFERROR(INDEX(PROPONENTES!$F$1:$F$23,MATCH(A10,PROPONENTES!$E$1:$E$23,0)),"")</f>
        <v/>
      </c>
      <c r="C10" s="671" t="str">
        <f>IFERROR(INDEX(PROPONENTES!$H$1:$H$23,MATCH(A10,PROPONENTES!$E$1:$E$23,0)),"")</f>
        <v/>
      </c>
      <c r="D10" s="671"/>
      <c r="E10" s="628"/>
      <c r="F10" s="628"/>
      <c r="G10" s="672"/>
      <c r="H10" s="672"/>
      <c r="I10" s="628"/>
      <c r="J10" s="628"/>
      <c r="K10" s="228"/>
      <c r="L10" s="228"/>
      <c r="M10" s="228"/>
      <c r="N10" s="49"/>
      <c r="O10" s="178"/>
      <c r="P10" s="673"/>
      <c r="Q10" s="674"/>
      <c r="R10" s="674"/>
      <c r="S10" s="674"/>
      <c r="T10" s="674"/>
      <c r="U10" s="675"/>
      <c r="V10" s="83"/>
      <c r="W10" s="83"/>
      <c r="X10" s="83"/>
      <c r="Y10" s="81"/>
      <c r="Z10" s="81"/>
      <c r="AA10" s="81"/>
      <c r="AB10" s="85">
        <v>6</v>
      </c>
      <c r="AC10" s="139">
        <v>2424911490</v>
      </c>
      <c r="AD10" s="140" t="e">
        <f>#N/A</f>
        <v>#N/A</v>
      </c>
      <c r="AE10" s="141" t="e">
        <f>#N/A</f>
        <v>#N/A</v>
      </c>
      <c r="AF10" s="141" t="e">
        <f>#N/A</f>
        <v>#N/A</v>
      </c>
      <c r="AG10" s="154">
        <v>285</v>
      </c>
      <c r="AH10" s="81"/>
      <c r="AI10" s="81"/>
      <c r="AJ10" s="81"/>
      <c r="AK10" s="81"/>
      <c r="AL10" s="81"/>
      <c r="AN10" s="88"/>
      <c r="AO10" s="88"/>
      <c r="AP10" s="88" t="e">
        <f>IF(#REF!="HABIL",1,0)</f>
        <v>#REF!</v>
      </c>
      <c r="AQ10" s="89"/>
      <c r="AR10" s="88" t="e">
        <f>IF(#REF!="HABIL",1,0)</f>
        <v>#REF!</v>
      </c>
      <c r="AS10" s="88"/>
      <c r="AT10" s="88">
        <f>IF(B10="",0,IF(G10="O",17420*C10,0))</f>
        <v>0</v>
      </c>
    </row>
    <row r="11" spans="1:50" ht="29.25" customHeight="1" x14ac:dyDescent="0.2">
      <c r="A11" s="142"/>
      <c r="B11" s="143"/>
      <c r="C11" s="144"/>
      <c r="D11" s="144"/>
      <c r="E11" s="123"/>
      <c r="F11" s="123"/>
      <c r="G11" s="146"/>
      <c r="H11" s="146"/>
      <c r="I11" s="123"/>
      <c r="J11" s="123"/>
      <c r="K11" s="147"/>
      <c r="L11" s="147"/>
      <c r="M11" s="147"/>
      <c r="N11" s="123"/>
      <c r="O11" s="123"/>
      <c r="P11" s="145"/>
      <c r="Q11" s="145"/>
      <c r="R11" s="145"/>
      <c r="S11" s="145"/>
      <c r="T11" s="145"/>
      <c r="U11" s="145"/>
      <c r="V11" s="83"/>
      <c r="W11" s="83"/>
      <c r="X11" s="83"/>
      <c r="Y11" s="81"/>
      <c r="Z11" s="81"/>
      <c r="AA11" s="81"/>
      <c r="AB11" s="85">
        <v>7</v>
      </c>
      <c r="AC11" s="139">
        <v>4834246259</v>
      </c>
      <c r="AD11" s="140" t="e">
        <f>#N/A</f>
        <v>#N/A</v>
      </c>
      <c r="AE11" s="141" t="e">
        <f>#N/A</f>
        <v>#N/A</v>
      </c>
      <c r="AF11" s="141" t="e">
        <f>#N/A</f>
        <v>#N/A</v>
      </c>
      <c r="AG11" s="154">
        <v>66.599999999999994</v>
      </c>
      <c r="AH11" s="81"/>
      <c r="AI11" s="81"/>
      <c r="AJ11" s="81"/>
      <c r="AK11" s="81"/>
      <c r="AL11" s="81"/>
      <c r="AN11" s="88"/>
      <c r="AO11" s="88"/>
      <c r="AP11" s="88"/>
      <c r="AQ11" s="89"/>
      <c r="AR11" s="88"/>
      <c r="AS11" s="88"/>
      <c r="AT11" s="88"/>
    </row>
    <row r="12" spans="1:50" ht="32.25" customHeight="1" x14ac:dyDescent="0.2">
      <c r="AB12" s="85">
        <v>8</v>
      </c>
      <c r="AC12" s="139">
        <v>11012084020</v>
      </c>
      <c r="AD12" s="139">
        <f>+AC12</f>
        <v>11012084020</v>
      </c>
      <c r="AE12" s="141" t="e">
        <f>#N/A</f>
        <v>#N/A</v>
      </c>
      <c r="AF12" s="141" t="e">
        <f>#N/A</f>
        <v>#N/A</v>
      </c>
      <c r="AG12" s="154">
        <v>131.5</v>
      </c>
      <c r="AQ12" s="3"/>
    </row>
    <row r="13" spans="1:50" ht="18" customHeight="1" thickBot="1" x14ac:dyDescent="0.25">
      <c r="A13" s="74" t="s">
        <v>125</v>
      </c>
      <c r="T13" s="1"/>
      <c r="Y13" s="3"/>
      <c r="AB13" s="85">
        <v>9</v>
      </c>
      <c r="AC13" s="139">
        <v>9870934329</v>
      </c>
      <c r="AD13" s="139">
        <f>+AC13</f>
        <v>9870934329</v>
      </c>
      <c r="AE13" s="141" t="e">
        <f>#N/A</f>
        <v>#N/A</v>
      </c>
      <c r="AF13" s="141" t="e">
        <f>#N/A</f>
        <v>#N/A</v>
      </c>
      <c r="AG13" s="154">
        <v>94.55</v>
      </c>
      <c r="AM13" s="2"/>
      <c r="AR13" s="3"/>
    </row>
    <row r="14" spans="1:50" ht="23.25" customHeight="1" x14ac:dyDescent="0.2">
      <c r="A14" s="653" t="s">
        <v>4</v>
      </c>
      <c r="B14" s="655" t="s">
        <v>71</v>
      </c>
      <c r="C14" s="657" t="str">
        <f>+C4</f>
        <v>INTEGRANTE LIDER MINIMO 60% DE PARTICIPACION</v>
      </c>
      <c r="D14" s="658"/>
      <c r="E14" s="658"/>
      <c r="F14" s="659"/>
      <c r="G14" s="657" t="s">
        <v>68</v>
      </c>
      <c r="H14" s="659"/>
      <c r="I14" s="663" t="s">
        <v>66</v>
      </c>
      <c r="J14" s="664"/>
      <c r="K14" s="540" t="s">
        <v>106</v>
      </c>
      <c r="L14" s="644" t="s">
        <v>2</v>
      </c>
      <c r="M14" s="620"/>
      <c r="N14" s="620"/>
      <c r="O14" s="620"/>
      <c r="P14" s="620"/>
      <c r="Q14" s="621"/>
      <c r="T14" s="1"/>
      <c r="Y14" s="3"/>
      <c r="AB14" s="85">
        <v>10</v>
      </c>
      <c r="AC14" s="139">
        <v>6558945207.6000004</v>
      </c>
      <c r="AD14" s="139">
        <f>+AC14*1.5</f>
        <v>9838417811.4000015</v>
      </c>
      <c r="AE14" s="141" t="e">
        <f>#N/A</f>
        <v>#N/A</v>
      </c>
      <c r="AF14" s="141" t="e">
        <f>#N/A</f>
        <v>#N/A</v>
      </c>
      <c r="AG14" s="155">
        <v>325.17500000000001</v>
      </c>
      <c r="AM14" s="2"/>
      <c r="AR14" s="3"/>
    </row>
    <row r="15" spans="1:50" ht="96.75" customHeight="1" x14ac:dyDescent="0.2">
      <c r="A15" s="654" t="s">
        <v>1</v>
      </c>
      <c r="B15" s="656"/>
      <c r="C15" s="660"/>
      <c r="D15" s="661"/>
      <c r="E15" s="661"/>
      <c r="F15" s="662"/>
      <c r="G15" s="660"/>
      <c r="H15" s="662"/>
      <c r="I15" s="47" t="s">
        <v>257</v>
      </c>
      <c r="J15" s="47" t="s">
        <v>161</v>
      </c>
      <c r="K15" s="665"/>
      <c r="L15" s="645"/>
      <c r="M15" s="646"/>
      <c r="N15" s="646"/>
      <c r="O15" s="646"/>
      <c r="P15" s="646"/>
      <c r="Q15" s="647"/>
      <c r="T15" s="1"/>
      <c r="Y15" s="3"/>
      <c r="AB15" s="85"/>
      <c r="AC15" s="139"/>
      <c r="AD15" s="139"/>
      <c r="AE15" s="141"/>
      <c r="AM15" s="2"/>
      <c r="AR15" s="3"/>
    </row>
    <row r="16" spans="1:50" ht="36.75" customHeight="1" thickBot="1" x14ac:dyDescent="0.25">
      <c r="A16" s="77">
        <f>+A6</f>
        <v>2</v>
      </c>
      <c r="B16" s="76" t="str">
        <f>+B6</f>
        <v>CONSORCIO EPSILON CUCUTA</v>
      </c>
      <c r="C16" s="648" t="str">
        <f>+C6</f>
        <v>%</v>
      </c>
      <c r="D16" s="649"/>
      <c r="E16" s="650" t="str">
        <f>+E6</f>
        <v>Condición integrante</v>
      </c>
      <c r="F16" s="651"/>
      <c r="G16" s="91"/>
      <c r="H16" s="92"/>
      <c r="I16" s="93"/>
      <c r="J16" s="76" t="str">
        <f>IF(AND(J17="N. A.",J18="N. A.",J19="N. A.",J20="N. A."),"N. A.",IF(AT8&gt;=1,"HABIL","NO HABIL"))</f>
        <v>HABIL</v>
      </c>
      <c r="K16" s="78" t="s">
        <v>110</v>
      </c>
      <c r="L16" s="641"/>
      <c r="M16" s="642"/>
      <c r="N16" s="642"/>
      <c r="O16" s="642"/>
      <c r="P16" s="642"/>
      <c r="Q16" s="643"/>
      <c r="T16" s="1"/>
      <c r="Y16" s="3"/>
      <c r="AM16" s="2"/>
      <c r="AR16" s="3"/>
    </row>
    <row r="17" spans="1:45" ht="31.5" customHeight="1" thickTop="1" x14ac:dyDescent="0.2">
      <c r="A17" s="95" t="str">
        <f>+A7</f>
        <v>2A</v>
      </c>
      <c r="B17" s="96" t="str">
        <f t="shared" ref="B17:C19" si="0">+B7</f>
        <v>PROYECTOS INTERVENTORIAS LTDA "PI LTDA"</v>
      </c>
      <c r="C17" s="637">
        <f t="shared" si="0"/>
        <v>0.6</v>
      </c>
      <c r="D17" s="638"/>
      <c r="E17" s="638" t="str">
        <f>+E7</f>
        <v>LIDER</v>
      </c>
      <c r="F17" s="638"/>
      <c r="G17" s="652" t="s">
        <v>77</v>
      </c>
      <c r="H17" s="638"/>
      <c r="I17" s="221">
        <v>30.173850000000002</v>
      </c>
      <c r="J17" s="87" t="str">
        <f>IF(B7="","N. A.",IF(AND(G7="O",I17&gt;=10),"HABIL",IF(AND(G7="O",I17&lt;10),"NO HABIL","N. A.")))</f>
        <v>HABIL</v>
      </c>
      <c r="K17" s="222">
        <v>32</v>
      </c>
      <c r="L17" s="641"/>
      <c r="M17" s="642"/>
      <c r="N17" s="642"/>
      <c r="O17" s="642"/>
      <c r="P17" s="642"/>
      <c r="Q17" s="643"/>
      <c r="T17" s="1"/>
      <c r="Y17" s="3"/>
      <c r="AM17" s="2"/>
      <c r="AR17" s="3"/>
    </row>
    <row r="18" spans="1:45" ht="39" customHeight="1" x14ac:dyDescent="0.2">
      <c r="A18" s="98" t="str">
        <f>+A8</f>
        <v>2B</v>
      </c>
      <c r="B18" s="99" t="str">
        <f t="shared" si="0"/>
        <v>B &amp; C S.A.</v>
      </c>
      <c r="C18" s="759">
        <f t="shared" si="0"/>
        <v>0.3</v>
      </c>
      <c r="D18" s="639"/>
      <c r="E18" s="639" t="str">
        <f>+E8</f>
        <v>NO LIDER</v>
      </c>
      <c r="F18" s="639"/>
      <c r="G18" s="640" t="s">
        <v>77</v>
      </c>
      <c r="H18" s="639"/>
      <c r="I18" s="223">
        <v>26.151949999999999</v>
      </c>
      <c r="J18" s="46" t="str">
        <f>IF(B8="","N. A.",IF(AND(G8="O",I18&gt;=10),"HABIL",IF(AND(G8="O",I18&lt;10),"NO HABIL","N. A.")))</f>
        <v>HABIL</v>
      </c>
      <c r="K18" s="224">
        <v>48</v>
      </c>
      <c r="L18" s="641"/>
      <c r="M18" s="642"/>
      <c r="N18" s="642"/>
      <c r="O18" s="642"/>
      <c r="P18" s="642"/>
      <c r="Q18" s="643"/>
      <c r="T18" s="1"/>
      <c r="Y18" s="3"/>
      <c r="AM18" s="2"/>
      <c r="AR18" s="3"/>
    </row>
    <row r="19" spans="1:45" ht="27.75" customHeight="1" x14ac:dyDescent="0.2">
      <c r="A19" s="98" t="str">
        <f>+A9</f>
        <v>2C</v>
      </c>
      <c r="B19" s="99" t="str">
        <f t="shared" si="0"/>
        <v>MARTHA CECILIA ORDOÑEZ OCAMPO</v>
      </c>
      <c r="C19" s="759">
        <f t="shared" si="0"/>
        <v>0.1</v>
      </c>
      <c r="D19" s="639"/>
      <c r="E19" s="639" t="str">
        <f>+E9</f>
        <v>NO LIDER</v>
      </c>
      <c r="F19" s="639"/>
      <c r="G19" s="640" t="s">
        <v>77</v>
      </c>
      <c r="H19" s="639"/>
      <c r="I19" s="223">
        <v>15.21</v>
      </c>
      <c r="J19" s="46" t="str">
        <f>IF(B9="","N. A.",IF(AND(G9="O",I19&gt;=10),"HABIL",IF(AND(G9="O",I19&lt;10),"NO HABIL","N. A.")))</f>
        <v>HABIL</v>
      </c>
      <c r="K19" s="224">
        <v>55</v>
      </c>
      <c r="L19" s="641"/>
      <c r="M19" s="642"/>
      <c r="N19" s="642"/>
      <c r="O19" s="642"/>
      <c r="P19" s="642"/>
      <c r="Q19" s="643"/>
      <c r="T19" s="1"/>
      <c r="Y19" s="3"/>
      <c r="AM19" s="2"/>
      <c r="AR19" s="3"/>
    </row>
    <row r="20" spans="1:45" ht="29.25" customHeight="1" thickBot="1" x14ac:dyDescent="0.25">
      <c r="A20" s="100"/>
      <c r="B20" s="101"/>
      <c r="C20" s="627"/>
      <c r="D20" s="628"/>
      <c r="E20" s="628"/>
      <c r="F20" s="628"/>
      <c r="G20" s="629"/>
      <c r="H20" s="628"/>
      <c r="I20" s="225"/>
      <c r="J20" s="75"/>
      <c r="K20" s="226"/>
      <c r="L20" s="630"/>
      <c r="M20" s="631"/>
      <c r="N20" s="631"/>
      <c r="O20" s="631"/>
      <c r="P20" s="631"/>
      <c r="Q20" s="632"/>
      <c r="T20" s="1"/>
      <c r="Y20" s="3"/>
      <c r="AM20" s="2"/>
      <c r="AR20" s="3"/>
    </row>
    <row r="21" spans="1:45" ht="29.25" customHeight="1" x14ac:dyDescent="0.2">
      <c r="A21" s="123"/>
      <c r="B21" s="124"/>
      <c r="C21" s="125"/>
      <c r="D21" s="123"/>
      <c r="E21" s="123"/>
      <c r="F21" s="123"/>
      <c r="G21" s="126"/>
      <c r="H21" s="123"/>
      <c r="I21" s="128"/>
      <c r="J21" s="129"/>
      <c r="K21" s="130"/>
      <c r="L21" s="127"/>
      <c r="M21" s="127"/>
      <c r="N21" s="127"/>
      <c r="O21" s="127"/>
      <c r="P21" s="127"/>
      <c r="Q21" s="127"/>
      <c r="T21" s="1"/>
      <c r="Y21" s="3"/>
      <c r="AM21" s="2"/>
      <c r="AR21" s="3"/>
    </row>
    <row r="22" spans="1:45" ht="16.5" thickBot="1" x14ac:dyDescent="0.25">
      <c r="A22" s="74" t="s">
        <v>213</v>
      </c>
      <c r="T22" s="1"/>
      <c r="Y22" s="3"/>
      <c r="AA22" s="113"/>
      <c r="AB22" s="113"/>
      <c r="AC22" s="113"/>
      <c r="AD22" s="113"/>
      <c r="AE22" s="113"/>
      <c r="AF22" s="113"/>
      <c r="AM22" s="2"/>
      <c r="AR22" s="3"/>
    </row>
    <row r="23" spans="1:45" ht="107.25" customHeight="1" x14ac:dyDescent="0.2">
      <c r="A23" s="633" t="s">
        <v>112</v>
      </c>
      <c r="B23" s="634"/>
      <c r="C23" s="635" t="s">
        <v>113</v>
      </c>
      <c r="D23" s="634"/>
      <c r="E23" s="635" t="s">
        <v>70</v>
      </c>
      <c r="F23" s="634"/>
      <c r="G23" s="619" t="s">
        <v>114</v>
      </c>
      <c r="H23" s="620"/>
      <c r="I23" s="620"/>
      <c r="J23" s="620"/>
      <c r="K23" s="636"/>
      <c r="L23" s="135" t="s">
        <v>115</v>
      </c>
      <c r="M23" s="135" t="s">
        <v>126</v>
      </c>
      <c r="N23" s="135" t="s">
        <v>117</v>
      </c>
      <c r="O23" s="135" t="s">
        <v>118</v>
      </c>
      <c r="P23" s="277" t="s">
        <v>127</v>
      </c>
      <c r="Q23" s="135" t="s">
        <v>106</v>
      </c>
      <c r="R23" s="619" t="s">
        <v>2</v>
      </c>
      <c r="S23" s="620"/>
      <c r="T23" s="620"/>
      <c r="U23" s="620"/>
      <c r="V23" s="620"/>
      <c r="W23" s="620"/>
      <c r="X23" s="620"/>
      <c r="Y23" s="621"/>
      <c r="Z23" s="114"/>
      <c r="AA23" s="114"/>
      <c r="AB23" s="114"/>
      <c r="AC23" s="114"/>
      <c r="AD23" s="114"/>
      <c r="AE23" s="114"/>
      <c r="AF23" s="111"/>
      <c r="AG23" s="111"/>
      <c r="AH23" s="111"/>
      <c r="AI23" s="111"/>
      <c r="AJ23" s="111"/>
      <c r="AK23" s="111"/>
      <c r="AL23" s="111"/>
      <c r="AQ23" s="3"/>
    </row>
    <row r="24" spans="1:45" s="259" customFormat="1" ht="89.25" customHeight="1" x14ac:dyDescent="0.2">
      <c r="A24" s="622" t="s">
        <v>293</v>
      </c>
      <c r="B24" s="623"/>
      <c r="C24" s="531" t="str">
        <f>IFERROR(INDEX($E$7:$E$9,MATCH(A24,$B$7:$B$9,0)),"N.A.")</f>
        <v>LIDER</v>
      </c>
      <c r="D24" s="532"/>
      <c r="E24" s="531">
        <v>1</v>
      </c>
      <c r="F24" s="532"/>
      <c r="G24" s="571" t="s">
        <v>380</v>
      </c>
      <c r="H24" s="572"/>
      <c r="I24" s="572"/>
      <c r="J24" s="572"/>
      <c r="K24" s="573"/>
      <c r="L24" s="182" t="s">
        <v>233</v>
      </c>
      <c r="M24" s="197" t="s">
        <v>78</v>
      </c>
      <c r="N24" s="185">
        <v>39860</v>
      </c>
      <c r="O24" s="185">
        <v>41337</v>
      </c>
      <c r="P24" s="755" t="s">
        <v>122</v>
      </c>
      <c r="Q24" s="181" t="s">
        <v>384</v>
      </c>
      <c r="R24" s="565"/>
      <c r="S24" s="566"/>
      <c r="T24" s="566"/>
      <c r="U24" s="566"/>
      <c r="V24" s="566"/>
      <c r="W24" s="566"/>
      <c r="X24" s="566"/>
      <c r="Y24" s="567"/>
      <c r="Z24" s="258"/>
      <c r="AA24" s="258"/>
      <c r="AB24" s="258"/>
      <c r="AC24" s="258"/>
      <c r="AD24" s="258"/>
      <c r="AE24" s="258"/>
      <c r="AF24" s="258"/>
      <c r="AG24" s="258"/>
      <c r="AH24" s="258"/>
      <c r="AI24" s="258"/>
      <c r="AJ24" s="258"/>
      <c r="AK24" s="258"/>
      <c r="AL24" s="258"/>
      <c r="AN24" s="259">
        <f>IF(C24="MAP",IF(M24&gt;=30%,#REF!,#REF!*M24),0)</f>
        <v>0</v>
      </c>
      <c r="AO24" s="259">
        <f>SUM(AN24:AN26)</f>
        <v>0</v>
      </c>
      <c r="AQ24" s="260"/>
    </row>
    <row r="25" spans="1:45" ht="64.5" customHeight="1" x14ac:dyDescent="0.2">
      <c r="A25" s="622" t="s">
        <v>154</v>
      </c>
      <c r="B25" s="623"/>
      <c r="C25" s="531" t="str">
        <f>IFERROR(INDEX($E$7:$E$9,MATCH(A25,$B$7:$B$9,0)),"N.A.")</f>
        <v>NO LIDER</v>
      </c>
      <c r="D25" s="532"/>
      <c r="E25" s="531">
        <v>1</v>
      </c>
      <c r="F25" s="532"/>
      <c r="G25" s="571" t="s">
        <v>381</v>
      </c>
      <c r="H25" s="572"/>
      <c r="I25" s="572"/>
      <c r="J25" s="572"/>
      <c r="K25" s="573"/>
      <c r="L25" s="182" t="s">
        <v>382</v>
      </c>
      <c r="M25" s="198" t="s">
        <v>78</v>
      </c>
      <c r="N25" s="200">
        <v>38678</v>
      </c>
      <c r="O25" s="200">
        <v>39568</v>
      </c>
      <c r="P25" s="557"/>
      <c r="Q25" s="193" t="s">
        <v>385</v>
      </c>
      <c r="R25" s="565"/>
      <c r="S25" s="566"/>
      <c r="T25" s="566"/>
      <c r="U25" s="566"/>
      <c r="V25" s="566"/>
      <c r="W25" s="566"/>
      <c r="X25" s="566"/>
      <c r="Y25" s="567"/>
      <c r="Z25" s="112"/>
      <c r="AA25" s="112"/>
      <c r="AB25" s="112"/>
      <c r="AC25" s="112"/>
      <c r="AD25" s="112"/>
      <c r="AE25" s="112"/>
      <c r="AF25" s="112"/>
      <c r="AG25" s="112"/>
      <c r="AH25" s="112"/>
      <c r="AI25" s="112"/>
      <c r="AJ25" s="112"/>
      <c r="AK25" s="112"/>
      <c r="AL25" s="112"/>
      <c r="AQ25" s="3"/>
    </row>
    <row r="26" spans="1:45" ht="68.25" customHeight="1" thickBot="1" x14ac:dyDescent="0.25">
      <c r="A26" s="751" t="s">
        <v>206</v>
      </c>
      <c r="B26" s="752"/>
      <c r="C26" s="586" t="str">
        <f>IFERROR(INDEX($E$7:$E$9,MATCH(A26,$B$7:$B$9,0)),"N.A.")</f>
        <v>NO LIDER</v>
      </c>
      <c r="D26" s="587"/>
      <c r="E26" s="586">
        <v>1</v>
      </c>
      <c r="F26" s="587"/>
      <c r="G26" s="597" t="s">
        <v>383</v>
      </c>
      <c r="H26" s="598"/>
      <c r="I26" s="598"/>
      <c r="J26" s="598"/>
      <c r="K26" s="599"/>
      <c r="L26" s="186" t="s">
        <v>382</v>
      </c>
      <c r="M26" s="201" t="s">
        <v>78</v>
      </c>
      <c r="N26" s="187">
        <v>38006</v>
      </c>
      <c r="O26" s="187">
        <v>38157</v>
      </c>
      <c r="P26" s="558"/>
      <c r="Q26" s="202" t="s">
        <v>386</v>
      </c>
      <c r="R26" s="565"/>
      <c r="S26" s="566"/>
      <c r="T26" s="566"/>
      <c r="U26" s="566"/>
      <c r="V26" s="566"/>
      <c r="W26" s="566"/>
      <c r="X26" s="566"/>
      <c r="Y26" s="567"/>
      <c r="Z26" s="112"/>
      <c r="AA26" s="112"/>
      <c r="AB26" s="112"/>
      <c r="AC26" s="112"/>
      <c r="AD26" s="112"/>
      <c r="AE26" s="112"/>
      <c r="AF26" s="112"/>
      <c r="AG26" s="112"/>
      <c r="AH26" s="112"/>
      <c r="AI26" s="112"/>
      <c r="AJ26" s="112"/>
      <c r="AK26" s="112"/>
      <c r="AL26" s="112"/>
      <c r="AQ26" s="3"/>
    </row>
    <row r="27" spans="1:45" ht="24" customHeight="1" x14ac:dyDescent="0.2">
      <c r="T27" s="1"/>
      <c r="U27" s="1"/>
      <c r="Y27" s="3"/>
      <c r="Z27" s="3"/>
      <c r="AM27" s="2"/>
      <c r="AN27" s="2"/>
      <c r="AS27" s="3"/>
    </row>
    <row r="28" spans="1:45" ht="24" customHeight="1" x14ac:dyDescent="0.2">
      <c r="T28" s="1"/>
      <c r="U28" s="1"/>
      <c r="Y28" s="3"/>
      <c r="Z28" s="3"/>
      <c r="AM28" s="2"/>
      <c r="AN28" s="2"/>
      <c r="AS28" s="3"/>
    </row>
    <row r="29" spans="1:45" ht="16.5" thickBot="1" x14ac:dyDescent="0.25">
      <c r="A29" s="74" t="s">
        <v>214</v>
      </c>
      <c r="T29" s="1"/>
      <c r="Y29" s="3"/>
      <c r="AA29" s="113"/>
      <c r="AB29" s="113"/>
      <c r="AC29" s="113"/>
      <c r="AD29" s="113"/>
      <c r="AE29" s="113"/>
      <c r="AF29" s="113"/>
      <c r="AM29" s="2"/>
      <c r="AR29" s="3"/>
    </row>
    <row r="30" spans="1:45" ht="120.75" customHeight="1" x14ac:dyDescent="0.2">
      <c r="A30" s="615" t="s">
        <v>112</v>
      </c>
      <c r="B30" s="541"/>
      <c r="C30" s="539" t="s">
        <v>113</v>
      </c>
      <c r="D30" s="541"/>
      <c r="E30" s="539" t="s">
        <v>70</v>
      </c>
      <c r="F30" s="541"/>
      <c r="G30" s="608" t="s">
        <v>114</v>
      </c>
      <c r="H30" s="609"/>
      <c r="I30" s="609"/>
      <c r="J30" s="609"/>
      <c r="K30" s="758"/>
      <c r="L30" s="165" t="s">
        <v>128</v>
      </c>
      <c r="M30" s="136" t="s">
        <v>115</v>
      </c>
      <c r="N30" s="164" t="s">
        <v>117</v>
      </c>
      <c r="O30" s="164" t="s">
        <v>118</v>
      </c>
      <c r="P30" s="164" t="s">
        <v>116</v>
      </c>
      <c r="Q30" s="164" t="s">
        <v>119</v>
      </c>
      <c r="R30" s="279" t="s">
        <v>189</v>
      </c>
      <c r="S30" s="279" t="s">
        <v>234</v>
      </c>
      <c r="T30" s="164" t="s">
        <v>106</v>
      </c>
      <c r="U30" s="619" t="s">
        <v>2</v>
      </c>
      <c r="V30" s="620"/>
      <c r="W30" s="620"/>
      <c r="X30" s="620"/>
      <c r="Y30" s="620"/>
      <c r="Z30" s="620"/>
      <c r="AA30" s="621"/>
      <c r="AB30" s="114"/>
      <c r="AC30" s="114"/>
      <c r="AD30" s="114"/>
      <c r="AE30" s="114"/>
      <c r="AF30" s="111"/>
      <c r="AG30" s="111"/>
      <c r="AH30" s="111"/>
      <c r="AI30" s="111"/>
      <c r="AJ30" s="111"/>
      <c r="AK30" s="111"/>
      <c r="AL30" s="111"/>
      <c r="AQ30" s="3"/>
    </row>
    <row r="31" spans="1:45" s="256" customFormat="1" ht="92.25" customHeight="1" x14ac:dyDescent="0.2">
      <c r="A31" s="756" t="s">
        <v>293</v>
      </c>
      <c r="B31" s="757"/>
      <c r="C31" s="741" t="str">
        <f t="shared" ref="C31:C36" si="1">IFERROR(INDEX($E$7:$E$9,MATCH(A31,$B$7:$B$9,0)),"N.A.")</f>
        <v>LIDER</v>
      </c>
      <c r="D31" s="742"/>
      <c r="E31" s="741">
        <v>1</v>
      </c>
      <c r="F31" s="742"/>
      <c r="G31" s="571" t="s">
        <v>380</v>
      </c>
      <c r="H31" s="572"/>
      <c r="I31" s="572"/>
      <c r="J31" s="572"/>
      <c r="K31" s="573"/>
      <c r="L31" s="411" t="s">
        <v>133</v>
      </c>
      <c r="M31" s="252" t="s">
        <v>233</v>
      </c>
      <c r="N31" s="185">
        <v>39860</v>
      </c>
      <c r="O31" s="185">
        <v>41337</v>
      </c>
      <c r="P31" s="253">
        <v>0.7</v>
      </c>
      <c r="Q31" s="254">
        <f>13157956981/496900</f>
        <v>26480.090523244115</v>
      </c>
      <c r="R31" s="281" t="str">
        <f>IF(((Q31)&gt;='Calificación Técnica'!$E$18),"HABIL",IF(((Q31)&lt;'Calificación Técnica'!$E$18),"NO HABIL",))</f>
        <v>HABIL</v>
      </c>
      <c r="S31" s="755" t="str">
        <f>IF(($Q$31+$Q$32)&gt;='Calificación Técnica'!E14*0.6,IF(($Q$33+$Q$36+Q34+Q35)&gt;='Calificación Técnica'!E14*0.4,"HABIL","NO HABIL"))</f>
        <v>HABIL</v>
      </c>
      <c r="T31" s="181" t="s">
        <v>384</v>
      </c>
      <c r="U31" s="737"/>
      <c r="V31" s="738"/>
      <c r="W31" s="738"/>
      <c r="X31" s="738"/>
      <c r="Y31" s="738"/>
      <c r="Z31" s="738"/>
      <c r="AA31" s="739"/>
      <c r="AB31" s="255"/>
      <c r="AC31" s="255"/>
      <c r="AD31" s="255"/>
      <c r="AE31" s="255"/>
      <c r="AF31" s="255"/>
      <c r="AG31" s="255"/>
      <c r="AH31" s="255"/>
      <c r="AI31" s="255"/>
      <c r="AJ31" s="255"/>
      <c r="AK31" s="255"/>
      <c r="AL31" s="255"/>
      <c r="AM31" s="255"/>
      <c r="AN31" s="255"/>
      <c r="AP31" s="256">
        <f>IF(C31="MAP",IF(N31&gt;=30%,#REF!,#REF!*N31),0)</f>
        <v>0</v>
      </c>
      <c r="AQ31" s="256">
        <f>SUM(AP31:AP36)</f>
        <v>0</v>
      </c>
      <c r="AS31" s="257"/>
    </row>
    <row r="32" spans="1:45" ht="96.75" customHeight="1" x14ac:dyDescent="0.2">
      <c r="A32" s="588" t="s">
        <v>293</v>
      </c>
      <c r="B32" s="589"/>
      <c r="C32" s="531" t="str">
        <f t="shared" si="1"/>
        <v>LIDER</v>
      </c>
      <c r="D32" s="532"/>
      <c r="E32" s="531">
        <v>2</v>
      </c>
      <c r="F32" s="532"/>
      <c r="G32" s="571" t="s">
        <v>387</v>
      </c>
      <c r="H32" s="572"/>
      <c r="I32" s="572"/>
      <c r="J32" s="572"/>
      <c r="K32" s="573"/>
      <c r="L32" s="191" t="s">
        <v>133</v>
      </c>
      <c r="M32" s="182" t="s">
        <v>388</v>
      </c>
      <c r="N32" s="185">
        <v>39804</v>
      </c>
      <c r="O32" s="185">
        <v>40390</v>
      </c>
      <c r="P32" s="197">
        <v>1</v>
      </c>
      <c r="Q32" s="199">
        <f>2748016868.48/461500</f>
        <v>5954.5327594366199</v>
      </c>
      <c r="R32" s="281" t="str">
        <f>IF(((Q32)&gt;='Calificación Técnica'!$E$18),"HABIL",IF(((Q32)&lt;'Calificación Técnica'!$E$18),"NO HABIL",))</f>
        <v>HABIL</v>
      </c>
      <c r="S32" s="557"/>
      <c r="T32" s="181" t="s">
        <v>390</v>
      </c>
      <c r="U32" s="565"/>
      <c r="V32" s="566"/>
      <c r="W32" s="566"/>
      <c r="X32" s="566"/>
      <c r="Y32" s="566"/>
      <c r="Z32" s="566"/>
      <c r="AA32" s="567"/>
      <c r="AB32" s="112"/>
      <c r="AC32" s="112"/>
      <c r="AD32" s="112"/>
      <c r="AE32" s="112"/>
      <c r="AF32" s="112"/>
      <c r="AG32" s="112"/>
      <c r="AH32" s="112"/>
      <c r="AI32" s="112"/>
      <c r="AJ32" s="112"/>
      <c r="AK32" s="112"/>
      <c r="AL32" s="112"/>
      <c r="AM32" s="112"/>
      <c r="AN32" s="112"/>
      <c r="AP32" s="1">
        <f>IF(C32="MAP",IF(N32&gt;=30%,#REF!,#REF!*N32),0)</f>
        <v>0</v>
      </c>
      <c r="AS32" s="3"/>
    </row>
    <row r="33" spans="1:49" ht="88.5" customHeight="1" x14ac:dyDescent="0.2">
      <c r="A33" s="588" t="s">
        <v>154</v>
      </c>
      <c r="B33" s="589"/>
      <c r="C33" s="531" t="str">
        <f t="shared" si="1"/>
        <v>NO LIDER</v>
      </c>
      <c r="D33" s="532"/>
      <c r="E33" s="531">
        <v>1</v>
      </c>
      <c r="F33" s="532"/>
      <c r="G33" s="571" t="s">
        <v>399</v>
      </c>
      <c r="H33" s="572"/>
      <c r="I33" s="572"/>
      <c r="J33" s="572"/>
      <c r="K33" s="573"/>
      <c r="L33" s="191" t="s">
        <v>133</v>
      </c>
      <c r="M33" s="182" t="s">
        <v>382</v>
      </c>
      <c r="N33" s="200">
        <v>38678</v>
      </c>
      <c r="O33" s="200">
        <v>39568</v>
      </c>
      <c r="P33" s="197">
        <v>0.75</v>
      </c>
      <c r="Q33" s="199">
        <f>1733348234/381500</f>
        <v>4543.507821756225</v>
      </c>
      <c r="R33" s="281" t="s">
        <v>108</v>
      </c>
      <c r="S33" s="557"/>
      <c r="T33" s="193" t="s">
        <v>385</v>
      </c>
      <c r="U33" s="565"/>
      <c r="V33" s="566"/>
      <c r="W33" s="566"/>
      <c r="X33" s="566"/>
      <c r="Y33" s="566"/>
      <c r="Z33" s="566"/>
      <c r="AA33" s="567"/>
      <c r="AB33" s="112"/>
      <c r="AC33" s="112"/>
      <c r="AD33" s="112"/>
      <c r="AE33" s="112"/>
      <c r="AF33" s="112"/>
      <c r="AG33" s="112"/>
      <c r="AH33" s="112"/>
      <c r="AI33" s="112"/>
      <c r="AJ33" s="112"/>
      <c r="AK33" s="112"/>
      <c r="AL33" s="112"/>
      <c r="AM33" s="112"/>
      <c r="AN33" s="112"/>
      <c r="AP33" s="1">
        <f>IF(C33="MAP",IF(N33&gt;=30%,#REF!,#REF!*N33),0)</f>
        <v>0</v>
      </c>
      <c r="AS33" s="3"/>
    </row>
    <row r="34" spans="1:49" ht="88.5" customHeight="1" x14ac:dyDescent="0.2">
      <c r="A34" s="747" t="s">
        <v>154</v>
      </c>
      <c r="B34" s="747"/>
      <c r="C34" s="743" t="str">
        <f t="shared" si="1"/>
        <v>NO LIDER</v>
      </c>
      <c r="D34" s="743"/>
      <c r="E34" s="743">
        <v>2</v>
      </c>
      <c r="F34" s="743"/>
      <c r="G34" s="779" t="s">
        <v>389</v>
      </c>
      <c r="H34" s="779"/>
      <c r="I34" s="779"/>
      <c r="J34" s="779"/>
      <c r="K34" s="779"/>
      <c r="L34" s="422" t="s">
        <v>133</v>
      </c>
      <c r="M34" s="182" t="s">
        <v>382</v>
      </c>
      <c r="N34" s="185">
        <v>38680</v>
      </c>
      <c r="O34" s="185">
        <v>39948</v>
      </c>
      <c r="P34" s="197">
        <v>0.5</v>
      </c>
      <c r="Q34" s="199">
        <f>2399367304/381500</f>
        <v>6289.2983066841416</v>
      </c>
      <c r="R34" s="281" t="s">
        <v>108</v>
      </c>
      <c r="S34" s="557"/>
      <c r="T34" s="181" t="s">
        <v>391</v>
      </c>
      <c r="U34" s="776"/>
      <c r="V34" s="777"/>
      <c r="W34" s="777"/>
      <c r="X34" s="777"/>
      <c r="Y34" s="777"/>
      <c r="Z34" s="777"/>
      <c r="AA34" s="778"/>
      <c r="AB34" s="112"/>
      <c r="AC34" s="112"/>
      <c r="AD34" s="112"/>
      <c r="AE34" s="112"/>
      <c r="AF34" s="112"/>
      <c r="AG34" s="112"/>
      <c r="AH34" s="112"/>
      <c r="AI34" s="112"/>
      <c r="AJ34" s="112"/>
      <c r="AK34" s="112"/>
      <c r="AL34" s="112"/>
      <c r="AM34" s="112"/>
      <c r="AN34" s="112"/>
      <c r="AS34" s="3"/>
    </row>
    <row r="35" spans="1:49" ht="88.5" customHeight="1" thickBot="1" x14ac:dyDescent="0.25">
      <c r="A35" s="753" t="s">
        <v>206</v>
      </c>
      <c r="B35" s="754"/>
      <c r="C35" s="613" t="str">
        <f t="shared" si="1"/>
        <v>NO LIDER</v>
      </c>
      <c r="D35" s="614"/>
      <c r="E35" s="760">
        <v>3</v>
      </c>
      <c r="F35" s="761"/>
      <c r="G35" s="568" t="s">
        <v>400</v>
      </c>
      <c r="H35" s="569"/>
      <c r="I35" s="569"/>
      <c r="J35" s="569"/>
      <c r="K35" s="570"/>
      <c r="L35" s="412" t="s">
        <v>133</v>
      </c>
      <c r="M35" s="401" t="s">
        <v>382</v>
      </c>
      <c r="N35" s="418">
        <v>38006</v>
      </c>
      <c r="O35" s="418">
        <v>38157</v>
      </c>
      <c r="P35" s="419">
        <v>1</v>
      </c>
      <c r="Q35" s="420">
        <f>(29287680/358000)</f>
        <v>81.809162011173186</v>
      </c>
      <c r="R35" s="421" t="s">
        <v>108</v>
      </c>
      <c r="S35" s="557"/>
      <c r="T35" s="423" t="s">
        <v>386</v>
      </c>
      <c r="U35" s="776"/>
      <c r="V35" s="777"/>
      <c r="W35" s="777"/>
      <c r="X35" s="777"/>
      <c r="Y35" s="777"/>
      <c r="Z35" s="777"/>
      <c r="AA35" s="778"/>
      <c r="AB35" s="112"/>
      <c r="AC35" s="112"/>
      <c r="AD35" s="112"/>
      <c r="AE35" s="112"/>
      <c r="AF35" s="112"/>
      <c r="AG35" s="112"/>
      <c r="AH35" s="112"/>
      <c r="AI35" s="112"/>
      <c r="AJ35" s="112"/>
      <c r="AK35" s="112"/>
      <c r="AL35" s="112"/>
      <c r="AM35" s="112"/>
      <c r="AN35" s="112"/>
      <c r="AS35" s="3"/>
    </row>
    <row r="36" spans="1:49" ht="67.5" customHeight="1" thickBot="1" x14ac:dyDescent="0.25">
      <c r="A36" s="606" t="s">
        <v>206</v>
      </c>
      <c r="B36" s="607"/>
      <c r="C36" s="586" t="str">
        <f t="shared" si="1"/>
        <v>NO LIDER</v>
      </c>
      <c r="D36" s="587"/>
      <c r="E36" s="586">
        <v>4</v>
      </c>
      <c r="F36" s="587"/>
      <c r="G36" s="597" t="s">
        <v>401</v>
      </c>
      <c r="H36" s="598"/>
      <c r="I36" s="598"/>
      <c r="J36" s="598"/>
      <c r="K36" s="599"/>
      <c r="L36" s="208" t="s">
        <v>133</v>
      </c>
      <c r="M36" s="186" t="s">
        <v>402</v>
      </c>
      <c r="N36" s="187">
        <v>40879</v>
      </c>
      <c r="O36" s="187">
        <v>41111</v>
      </c>
      <c r="P36" s="201">
        <v>0.2</v>
      </c>
      <c r="Q36" s="214">
        <f>(307458000*P36)/535600</f>
        <v>114.80881254667662</v>
      </c>
      <c r="R36" s="301" t="s">
        <v>108</v>
      </c>
      <c r="S36" s="558"/>
      <c r="T36" s="202" t="s">
        <v>403</v>
      </c>
      <c r="U36" s="704"/>
      <c r="V36" s="705"/>
      <c r="W36" s="705"/>
      <c r="X36" s="705"/>
      <c r="Y36" s="705"/>
      <c r="Z36" s="705"/>
      <c r="AA36" s="706"/>
      <c r="AB36" s="112"/>
      <c r="AC36" s="112"/>
      <c r="AD36" s="112"/>
      <c r="AE36" s="112"/>
      <c r="AF36" s="112"/>
      <c r="AG36" s="112"/>
      <c r="AH36" s="112"/>
      <c r="AI36" s="112"/>
      <c r="AJ36" s="112"/>
      <c r="AK36" s="112"/>
      <c r="AL36" s="112"/>
      <c r="AM36" s="112"/>
      <c r="AN36" s="112"/>
      <c r="AP36" s="1">
        <f>IF(C36="MAP",IF(N36&gt;=30%,#REF!,#REF!*N36),0)</f>
        <v>0</v>
      </c>
      <c r="AS36" s="3"/>
    </row>
    <row r="37" spans="1:49" x14ac:dyDescent="0.2">
      <c r="Q37" s="300">
        <f>SUM(Q31:Q36)</f>
        <v>43464.047385678947</v>
      </c>
      <c r="R37" s="285" t="str">
        <f>IF(B4="","N. A.",IF((Q37&gt;='Calificación Técnica'!E14),"CUMPLE",IF((Q37&lt;'Calificación Técnica'!E14),"NO CUMPLE","N. A.")))</f>
        <v>CUMPLE</v>
      </c>
    </row>
    <row r="38" spans="1:49" ht="15.75" x14ac:dyDescent="0.2">
      <c r="R38" s="286"/>
    </row>
    <row r="39" spans="1:49" ht="25.5" x14ac:dyDescent="0.2">
      <c r="A39" s="90" t="s">
        <v>145</v>
      </c>
      <c r="T39" s="1"/>
      <c r="U39" s="1"/>
      <c r="Y39" s="3"/>
      <c r="Z39" s="3"/>
      <c r="AM39" s="2"/>
      <c r="AN39" s="2"/>
      <c r="AO39" s="2"/>
      <c r="AP39" s="2"/>
      <c r="AQ39" s="2"/>
      <c r="AR39" s="2"/>
      <c r="AS39" s="2"/>
      <c r="AT39" s="2"/>
      <c r="AU39" s="2"/>
      <c r="AV39" s="2"/>
    </row>
    <row r="40" spans="1:49" ht="16.5" thickBot="1" x14ac:dyDescent="0.25">
      <c r="A40" s="74" t="s">
        <v>220</v>
      </c>
      <c r="T40" s="1"/>
      <c r="U40" s="1"/>
      <c r="V40" s="1"/>
      <c r="Y40" s="295"/>
      <c r="Z40" s="295"/>
      <c r="AA40" s="295"/>
      <c r="AM40" s="2"/>
      <c r="AN40" s="2"/>
      <c r="AO40" s="2"/>
      <c r="AP40" s="2"/>
      <c r="AQ40" s="2"/>
      <c r="AR40" s="2"/>
      <c r="AS40" s="2"/>
      <c r="AT40" s="2"/>
      <c r="AU40" s="2"/>
      <c r="AV40" s="2"/>
      <c r="AW40" s="2"/>
    </row>
    <row r="41" spans="1:49" ht="12.75" customHeight="1" x14ac:dyDescent="0.2">
      <c r="A41" s="592" t="s">
        <v>112</v>
      </c>
      <c r="B41" s="559"/>
      <c r="C41" s="559" t="s">
        <v>113</v>
      </c>
      <c r="D41" s="559"/>
      <c r="E41" s="559" t="s">
        <v>70</v>
      </c>
      <c r="F41" s="559"/>
      <c r="G41" s="562" t="s">
        <v>114</v>
      </c>
      <c r="H41" s="562"/>
      <c r="I41" s="562"/>
      <c r="J41" s="562"/>
      <c r="K41" s="562"/>
      <c r="L41" s="562"/>
      <c r="M41" s="562"/>
      <c r="N41" s="559" t="s">
        <v>115</v>
      </c>
      <c r="O41" s="559" t="s">
        <v>116</v>
      </c>
      <c r="P41" s="559" t="s">
        <v>117</v>
      </c>
      <c r="Q41" s="559" t="s">
        <v>118</v>
      </c>
      <c r="R41" s="559" t="s">
        <v>119</v>
      </c>
      <c r="S41" s="559" t="s">
        <v>139</v>
      </c>
      <c r="T41" s="554" t="s">
        <v>191</v>
      </c>
      <c r="U41" s="539" t="s">
        <v>195</v>
      </c>
      <c r="V41" s="540"/>
      <c r="W41" s="541"/>
      <c r="X41" s="720" t="s">
        <v>194</v>
      </c>
      <c r="Y41" s="720" t="s">
        <v>106</v>
      </c>
      <c r="Z41" s="548" t="s">
        <v>2</v>
      </c>
      <c r="AA41" s="730"/>
      <c r="AB41" s="730"/>
      <c r="AC41" s="730"/>
      <c r="AD41" s="730"/>
      <c r="AE41" s="730"/>
      <c r="AF41" s="730"/>
      <c r="AG41" s="730"/>
      <c r="AH41" s="730"/>
      <c r="AI41" s="731"/>
      <c r="AJ41" s="1"/>
      <c r="AK41" s="1"/>
      <c r="AL41" s="1"/>
    </row>
    <row r="42" spans="1:49" ht="33.75" customHeight="1" x14ac:dyDescent="0.2">
      <c r="A42" s="593"/>
      <c r="B42" s="560"/>
      <c r="C42" s="560"/>
      <c r="D42" s="560"/>
      <c r="E42" s="560"/>
      <c r="F42" s="560"/>
      <c r="G42" s="563"/>
      <c r="H42" s="563"/>
      <c r="I42" s="563"/>
      <c r="J42" s="563"/>
      <c r="K42" s="563"/>
      <c r="L42" s="563"/>
      <c r="M42" s="563"/>
      <c r="N42" s="560"/>
      <c r="O42" s="560"/>
      <c r="P42" s="560"/>
      <c r="Q42" s="560"/>
      <c r="R42" s="560"/>
      <c r="S42" s="560"/>
      <c r="T42" s="555"/>
      <c r="U42" s="542"/>
      <c r="V42" s="543"/>
      <c r="W42" s="544"/>
      <c r="X42" s="721"/>
      <c r="Y42" s="740"/>
      <c r="Z42" s="549"/>
      <c r="AA42" s="732"/>
      <c r="AB42" s="732"/>
      <c r="AC42" s="732"/>
      <c r="AD42" s="732"/>
      <c r="AE42" s="732"/>
      <c r="AF42" s="732"/>
      <c r="AG42" s="732"/>
      <c r="AH42" s="732"/>
      <c r="AI42" s="733"/>
      <c r="AJ42" s="1"/>
      <c r="AK42" s="1"/>
      <c r="AL42" s="1"/>
    </row>
    <row r="43" spans="1:49" ht="111" customHeight="1" x14ac:dyDescent="0.2">
      <c r="A43" s="593"/>
      <c r="B43" s="560"/>
      <c r="C43" s="560"/>
      <c r="D43" s="560"/>
      <c r="E43" s="560"/>
      <c r="F43" s="560"/>
      <c r="G43" s="563"/>
      <c r="H43" s="563"/>
      <c r="I43" s="563"/>
      <c r="J43" s="563"/>
      <c r="K43" s="563"/>
      <c r="L43" s="563"/>
      <c r="M43" s="563"/>
      <c r="N43" s="560"/>
      <c r="O43" s="560"/>
      <c r="P43" s="560"/>
      <c r="Q43" s="560"/>
      <c r="R43" s="560"/>
      <c r="S43" s="560"/>
      <c r="T43" s="287" t="s">
        <v>218</v>
      </c>
      <c r="U43" s="542"/>
      <c r="V43" s="543"/>
      <c r="W43" s="544"/>
      <c r="X43" s="287" t="s">
        <v>215</v>
      </c>
      <c r="Y43" s="721"/>
      <c r="Z43" s="734"/>
      <c r="AA43" s="735"/>
      <c r="AB43" s="735"/>
      <c r="AC43" s="735"/>
      <c r="AD43" s="735"/>
      <c r="AE43" s="735"/>
      <c r="AF43" s="735"/>
      <c r="AG43" s="735"/>
      <c r="AH43" s="735"/>
      <c r="AI43" s="736"/>
      <c r="AJ43" s="1"/>
      <c r="AK43" s="1"/>
      <c r="AL43" s="1"/>
    </row>
    <row r="44" spans="1:49" ht="66.75" customHeight="1" x14ac:dyDescent="0.2">
      <c r="A44" s="588" t="s">
        <v>154</v>
      </c>
      <c r="B44" s="589"/>
      <c r="C44" s="531" t="str">
        <f>IFERROR(INDEX($E$7:$E$9,MATCH(A44,$B$7:$B$9,0)),"N.A.")</f>
        <v>NO LIDER</v>
      </c>
      <c r="D44" s="532"/>
      <c r="E44" s="745">
        <v>1</v>
      </c>
      <c r="F44" s="745"/>
      <c r="G44" s="744" t="s">
        <v>392</v>
      </c>
      <c r="H44" s="744"/>
      <c r="I44" s="744"/>
      <c r="J44" s="744"/>
      <c r="K44" s="744"/>
      <c r="L44" s="744"/>
      <c r="M44" s="744"/>
      <c r="N44" s="182" t="s">
        <v>136</v>
      </c>
      <c r="O44" s="183">
        <v>0.3</v>
      </c>
      <c r="P44" s="200">
        <v>39933</v>
      </c>
      <c r="Q44" s="200">
        <v>41029</v>
      </c>
      <c r="R44" s="294">
        <f>(6198817512/496900)+(1390157920/496900)+(518272198/515000)+(1127918102/535600)+(175141200/535600)</f>
        <v>18711.891403838406</v>
      </c>
      <c r="S44" s="163">
        <v>131.75</v>
      </c>
      <c r="T44" s="160" t="str">
        <f>IF((R44)&gt;='Calificación Técnica'!$E$24,"CUMPLE","NO CUMPLE")</f>
        <v>CUMPLE</v>
      </c>
      <c r="U44" s="764" t="s">
        <v>147</v>
      </c>
      <c r="V44" s="765"/>
      <c r="W44" s="766"/>
      <c r="X44" s="767" t="str">
        <f>IF(($S$48)&gt;='Calificación Técnica'!C26,"CUMPLE","NO CUMPLE")</f>
        <v>CUMPLE</v>
      </c>
      <c r="Y44" s="350" t="s">
        <v>404</v>
      </c>
      <c r="Z44" s="748"/>
      <c r="AA44" s="749"/>
      <c r="AB44" s="749"/>
      <c r="AC44" s="749"/>
      <c r="AD44" s="749"/>
      <c r="AE44" s="749"/>
      <c r="AF44" s="749"/>
      <c r="AG44" s="749"/>
      <c r="AH44" s="749"/>
      <c r="AI44" s="750"/>
      <c r="AJ44" s="1"/>
      <c r="AK44" s="1"/>
      <c r="AL44" s="1"/>
    </row>
    <row r="45" spans="1:49" s="259" customFormat="1" ht="66" customHeight="1" x14ac:dyDescent="0.2">
      <c r="A45" s="746" t="s">
        <v>154</v>
      </c>
      <c r="B45" s="747"/>
      <c r="C45" s="743" t="str">
        <f>IFERROR(INDEX($E$7:$E$8,MATCH(A45,$B$7:$B$8,0)),"N.A.")</f>
        <v>NO LIDER</v>
      </c>
      <c r="D45" s="743"/>
      <c r="E45" s="743">
        <v>2</v>
      </c>
      <c r="F45" s="743"/>
      <c r="G45" s="744" t="s">
        <v>393</v>
      </c>
      <c r="H45" s="744"/>
      <c r="I45" s="744"/>
      <c r="J45" s="744"/>
      <c r="K45" s="744"/>
      <c r="L45" s="744"/>
      <c r="M45" s="744"/>
      <c r="N45" s="203" t="s">
        <v>136</v>
      </c>
      <c r="O45" s="183">
        <v>0.3</v>
      </c>
      <c r="P45" s="184">
        <v>39822</v>
      </c>
      <c r="Q45" s="184">
        <v>40916</v>
      </c>
      <c r="R45" s="163">
        <f>(3215569440/496900)+(1731003468/496900)</f>
        <v>9954.8659851076682</v>
      </c>
      <c r="S45" s="163">
        <v>82.04</v>
      </c>
      <c r="T45" s="160" t="str">
        <f>IF((R45)&gt;='Calificación Técnica'!$E$24,"CUMPLE","NO CUMPLE")</f>
        <v>CUMPLE</v>
      </c>
      <c r="U45" s="764" t="s">
        <v>76</v>
      </c>
      <c r="V45" s="765"/>
      <c r="W45" s="766"/>
      <c r="X45" s="768"/>
      <c r="Y45" s="350" t="s">
        <v>396</v>
      </c>
      <c r="Z45" s="748"/>
      <c r="AA45" s="749"/>
      <c r="AB45" s="749"/>
      <c r="AC45" s="749"/>
      <c r="AD45" s="749"/>
      <c r="AE45" s="749"/>
      <c r="AF45" s="749"/>
      <c r="AG45" s="749"/>
      <c r="AH45" s="749"/>
      <c r="AI45" s="750"/>
    </row>
    <row r="46" spans="1:49" s="259" customFormat="1" ht="75" customHeight="1" x14ac:dyDescent="0.2">
      <c r="A46" s="588" t="s">
        <v>154</v>
      </c>
      <c r="B46" s="589"/>
      <c r="C46" s="743" t="str">
        <f>IFERROR(INDEX($E$7:$E$9,MATCH(A46,$B$7:$B$9,0)),"N.A.")</f>
        <v>NO LIDER</v>
      </c>
      <c r="D46" s="743"/>
      <c r="E46" s="743">
        <v>3</v>
      </c>
      <c r="F46" s="743"/>
      <c r="G46" s="744" t="s">
        <v>394</v>
      </c>
      <c r="H46" s="744"/>
      <c r="I46" s="744"/>
      <c r="J46" s="744"/>
      <c r="K46" s="744"/>
      <c r="L46" s="744"/>
      <c r="M46" s="744"/>
      <c r="N46" s="203" t="s">
        <v>136</v>
      </c>
      <c r="O46" s="183">
        <v>0.3</v>
      </c>
      <c r="P46" s="184">
        <v>39822</v>
      </c>
      <c r="Q46" s="184">
        <v>40916</v>
      </c>
      <c r="R46" s="163">
        <f>(2009003878/496900)</f>
        <v>4043.0748198832762</v>
      </c>
      <c r="S46" s="163">
        <v>297.10000000000002</v>
      </c>
      <c r="T46" s="160" t="str">
        <f>IF((R46)&gt;='Calificación Técnica'!$E$24,"CUMPLE","NO CUMPLE")</f>
        <v>CUMPLE</v>
      </c>
      <c r="U46" s="764" t="s">
        <v>76</v>
      </c>
      <c r="V46" s="765"/>
      <c r="W46" s="766"/>
      <c r="X46" s="768"/>
      <c r="Y46" s="350" t="s">
        <v>397</v>
      </c>
      <c r="Z46" s="748"/>
      <c r="AA46" s="749"/>
      <c r="AB46" s="749"/>
      <c r="AC46" s="749"/>
      <c r="AD46" s="749"/>
      <c r="AE46" s="749"/>
      <c r="AF46" s="749"/>
      <c r="AG46" s="749"/>
      <c r="AH46" s="749"/>
      <c r="AI46" s="750"/>
    </row>
    <row r="47" spans="1:49" s="259" customFormat="1" ht="91.5" customHeight="1" thickBot="1" x14ac:dyDescent="0.25">
      <c r="A47" s="606" t="s">
        <v>293</v>
      </c>
      <c r="B47" s="607"/>
      <c r="C47" s="770" t="str">
        <f>IFERROR(INDEX($E$7:$E$9,MATCH(A47,$B$7:$B$9,0)),"N.A.")</f>
        <v>LIDER</v>
      </c>
      <c r="D47" s="770"/>
      <c r="E47" s="771">
        <v>4</v>
      </c>
      <c r="F47" s="771"/>
      <c r="G47" s="772" t="s">
        <v>395</v>
      </c>
      <c r="H47" s="772"/>
      <c r="I47" s="772"/>
      <c r="J47" s="772"/>
      <c r="K47" s="772"/>
      <c r="L47" s="772"/>
      <c r="M47" s="772"/>
      <c r="N47" s="204" t="s">
        <v>136</v>
      </c>
      <c r="O47" s="205">
        <v>0.25</v>
      </c>
      <c r="P47" s="187">
        <v>39521</v>
      </c>
      <c r="Q47" s="187">
        <v>40999</v>
      </c>
      <c r="R47" s="188">
        <f>(4814000324*O47)/461500</f>
        <v>2607.8008255687973</v>
      </c>
      <c r="S47" s="188">
        <f>338*O47</f>
        <v>84.5</v>
      </c>
      <c r="T47" s="160" t="str">
        <f>IF((R47)&gt;='Calificación Técnica'!$E$24,"CUMPLE","NO CUMPLE")</f>
        <v>NO CUMPLE</v>
      </c>
      <c r="U47" s="773" t="s">
        <v>449</v>
      </c>
      <c r="V47" s="774"/>
      <c r="W47" s="775"/>
      <c r="X47" s="769"/>
      <c r="Y47" s="351" t="s">
        <v>398</v>
      </c>
      <c r="Z47" s="762"/>
      <c r="AA47" s="763"/>
      <c r="AB47" s="473"/>
      <c r="AC47" s="473"/>
      <c r="AD47" s="473"/>
      <c r="AE47" s="473"/>
      <c r="AF47" s="473"/>
      <c r="AG47" s="473"/>
      <c r="AH47" s="473"/>
      <c r="AI47" s="474"/>
    </row>
    <row r="48" spans="1:49" ht="13.5" thickBot="1" x14ac:dyDescent="0.25">
      <c r="S48" s="166">
        <f>SUM(S44:S47)</f>
        <v>595.3900000000001</v>
      </c>
      <c r="T48" s="239" t="s">
        <v>76</v>
      </c>
      <c r="U48" s="206"/>
      <c r="V48" s="207"/>
      <c r="W48" s="2"/>
      <c r="X48" s="2"/>
      <c r="AJ48" s="1"/>
      <c r="AK48" s="1"/>
      <c r="AL48" s="1"/>
    </row>
  </sheetData>
  <sheetProtection formatColumns="0" formatRows="0"/>
  <mergeCells count="155">
    <mergeCell ref="Z47:AA47"/>
    <mergeCell ref="U45:W45"/>
    <mergeCell ref="U46:W46"/>
    <mergeCell ref="A4:A5"/>
    <mergeCell ref="B4:B5"/>
    <mergeCell ref="C4:F5"/>
    <mergeCell ref="G4:H5"/>
    <mergeCell ref="I4:N4"/>
    <mergeCell ref="T41:T42"/>
    <mergeCell ref="U41:W43"/>
    <mergeCell ref="U44:W44"/>
    <mergeCell ref="X44:X47"/>
    <mergeCell ref="A47:B47"/>
    <mergeCell ref="C47:D47"/>
    <mergeCell ref="E47:F47"/>
    <mergeCell ref="G47:M47"/>
    <mergeCell ref="U47:W47"/>
    <mergeCell ref="C45:D45"/>
    <mergeCell ref="U34:AA34"/>
    <mergeCell ref="U35:AA35"/>
    <mergeCell ref="A34:B34"/>
    <mergeCell ref="C34:D34"/>
    <mergeCell ref="E34:F34"/>
    <mergeCell ref="G34:K34"/>
    <mergeCell ref="O4:O5"/>
    <mergeCell ref="P4:U5"/>
    <mergeCell ref="I5:J5"/>
    <mergeCell ref="C6:D6"/>
    <mergeCell ref="E6:F6"/>
    <mergeCell ref="G6:M6"/>
    <mergeCell ref="P6:U6"/>
    <mergeCell ref="Z45:AI45"/>
    <mergeCell ref="Z46:AI46"/>
    <mergeCell ref="C35:D35"/>
    <mergeCell ref="E35:F35"/>
    <mergeCell ref="G35:K35"/>
    <mergeCell ref="C7:D7"/>
    <mergeCell ref="E7:F7"/>
    <mergeCell ref="G7:H7"/>
    <mergeCell ref="I7:J7"/>
    <mergeCell ref="P7:U7"/>
    <mergeCell ref="C8:D8"/>
    <mergeCell ref="E8:F8"/>
    <mergeCell ref="G8:H8"/>
    <mergeCell ref="I8:J8"/>
    <mergeCell ref="P8:U8"/>
    <mergeCell ref="C9:D9"/>
    <mergeCell ref="E9:F9"/>
    <mergeCell ref="G9:H9"/>
    <mergeCell ref="I9:J9"/>
    <mergeCell ref="P9:U9"/>
    <mergeCell ref="C10:D10"/>
    <mergeCell ref="E10:F10"/>
    <mergeCell ref="G10:H10"/>
    <mergeCell ref="I10:J10"/>
    <mergeCell ref="P10:U10"/>
    <mergeCell ref="L14:Q15"/>
    <mergeCell ref="C16:D16"/>
    <mergeCell ref="E16:F16"/>
    <mergeCell ref="L16:Q16"/>
    <mergeCell ref="C17:D17"/>
    <mergeCell ref="E17:F17"/>
    <mergeCell ref="G17:H17"/>
    <mergeCell ref="L17:Q17"/>
    <mergeCell ref="A14:A15"/>
    <mergeCell ref="B14:B15"/>
    <mergeCell ref="C14:F15"/>
    <mergeCell ref="G14:H15"/>
    <mergeCell ref="I14:J14"/>
    <mergeCell ref="K14:K15"/>
    <mergeCell ref="C20:D20"/>
    <mergeCell ref="E20:F20"/>
    <mergeCell ref="G20:H20"/>
    <mergeCell ref="L20:Q20"/>
    <mergeCell ref="A23:B23"/>
    <mergeCell ref="C23:D23"/>
    <mergeCell ref="E23:F23"/>
    <mergeCell ref="G23:K23"/>
    <mergeCell ref="C18:D18"/>
    <mergeCell ref="E18:F18"/>
    <mergeCell ref="G18:H18"/>
    <mergeCell ref="L18:Q18"/>
    <mergeCell ref="C19:D19"/>
    <mergeCell ref="E19:F19"/>
    <mergeCell ref="G19:H19"/>
    <mergeCell ref="L19:Q19"/>
    <mergeCell ref="A25:B25"/>
    <mergeCell ref="C25:D25"/>
    <mergeCell ref="E25:F25"/>
    <mergeCell ref="G25:K25"/>
    <mergeCell ref="A31:B31"/>
    <mergeCell ref="R23:Y23"/>
    <mergeCell ref="A24:B24"/>
    <mergeCell ref="C24:D24"/>
    <mergeCell ref="E24:F24"/>
    <mergeCell ref="G24:K24"/>
    <mergeCell ref="P24:P26"/>
    <mergeCell ref="R24:Y24"/>
    <mergeCell ref="A30:B30"/>
    <mergeCell ref="C30:D30"/>
    <mergeCell ref="E30:F30"/>
    <mergeCell ref="G30:K30"/>
    <mergeCell ref="Z44:AI44"/>
    <mergeCell ref="A26:B26"/>
    <mergeCell ref="C26:D26"/>
    <mergeCell ref="E26:F26"/>
    <mergeCell ref="G26:K26"/>
    <mergeCell ref="A35:B35"/>
    <mergeCell ref="Q41:Q43"/>
    <mergeCell ref="P41:P43"/>
    <mergeCell ref="G44:M44"/>
    <mergeCell ref="A36:B36"/>
    <mergeCell ref="C36:D36"/>
    <mergeCell ref="E36:F36"/>
    <mergeCell ref="G36:K36"/>
    <mergeCell ref="S41:S43"/>
    <mergeCell ref="E41:F43"/>
    <mergeCell ref="G41:M43"/>
    <mergeCell ref="N41:N43"/>
    <mergeCell ref="O41:O43"/>
    <mergeCell ref="S31:S36"/>
    <mergeCell ref="A32:B32"/>
    <mergeCell ref="C32:D32"/>
    <mergeCell ref="E32:F32"/>
    <mergeCell ref="G32:K32"/>
    <mergeCell ref="A33:B33"/>
    <mergeCell ref="C33:D33"/>
    <mergeCell ref="E33:F33"/>
    <mergeCell ref="G33:K33"/>
    <mergeCell ref="C31:D31"/>
    <mergeCell ref="E31:F31"/>
    <mergeCell ref="G31:K31"/>
    <mergeCell ref="A46:B46"/>
    <mergeCell ref="C46:D46"/>
    <mergeCell ref="E46:F46"/>
    <mergeCell ref="G46:M46"/>
    <mergeCell ref="A41:B43"/>
    <mergeCell ref="C41:D43"/>
    <mergeCell ref="A44:B44"/>
    <mergeCell ref="C44:D44"/>
    <mergeCell ref="E44:F44"/>
    <mergeCell ref="A45:B45"/>
    <mergeCell ref="E45:F45"/>
    <mergeCell ref="G45:M45"/>
    <mergeCell ref="X41:X42"/>
    <mergeCell ref="Z41:AI43"/>
    <mergeCell ref="R25:Y25"/>
    <mergeCell ref="R26:Y26"/>
    <mergeCell ref="U36:AA36"/>
    <mergeCell ref="U33:AA33"/>
    <mergeCell ref="U31:AA31"/>
    <mergeCell ref="U32:AA32"/>
    <mergeCell ref="U30:AA30"/>
    <mergeCell ref="Y41:Y43"/>
    <mergeCell ref="R41:R43"/>
  </mergeCells>
  <conditionalFormatting sqref="P24:P26 T44:T47">
    <cfRule type="cellIs" dxfId="28" priority="12" stopIfTrue="1" operator="equal">
      <formula>"NO HABIL"</formula>
    </cfRule>
  </conditionalFormatting>
  <conditionalFormatting sqref="J16">
    <cfRule type="cellIs" dxfId="27" priority="10" stopIfTrue="1" operator="equal">
      <formula>"NO HABIL"</formula>
    </cfRule>
  </conditionalFormatting>
  <conditionalFormatting sqref="N6">
    <cfRule type="cellIs" dxfId="26" priority="3" stopIfTrue="1" operator="equal">
      <formula>"NO HABIL"</formula>
    </cfRule>
  </conditionalFormatting>
  <conditionalFormatting sqref="R38 R31:R36">
    <cfRule type="cellIs" dxfId="25" priority="2" stopIfTrue="1" operator="equal">
      <formula>"NO HABIL"</formula>
    </cfRule>
  </conditionalFormatting>
  <conditionalFormatting sqref="S31">
    <cfRule type="cellIs" dxfId="24" priority="1" stopIfTrue="1" operator="equal">
      <formula>"NO HABIL"</formula>
    </cfRule>
  </conditionalFormatting>
  <dataValidations count="4">
    <dataValidation type="list" allowBlank="1" showInputMessage="1" showErrorMessage="1" sqref="A45:B45">
      <formula1>$B$7:$B$8</formula1>
    </dataValidation>
    <dataValidation type="list" allowBlank="1" showInputMessage="1" showErrorMessage="1" sqref="B24 A44:B44 A24:A26 A46:B47 A31:B36">
      <formula1>$B$7:$B$9</formula1>
    </dataValidation>
    <dataValidation type="list" allowBlank="1" showInputMessage="1" showErrorMessage="1" sqref="G7:H11">
      <formula1>$AN$7:$AN$8</formula1>
    </dataValidation>
    <dataValidation type="list" allowBlank="1" showInputMessage="1" showErrorMessage="1" sqref="M10:M11 K7:L11">
      <formula1>$AO$7:$AO$8</formula1>
    </dataValidation>
  </dataValidations>
  <printOptions horizontalCentered="1" verticalCentered="1"/>
  <pageMargins left="0.23622047244094491" right="0.23622047244094491" top="0.78740157480314965" bottom="0.35433070866141736" header="0.51181102362204722" footer="0.51181102362204722"/>
  <pageSetup paperSize="5" scale="31" orientation="landscape" r:id="rId1"/>
  <headerFooter alignWithMargins="0"/>
  <rowBreaks count="1" manualBreakCount="1">
    <brk id="27" max="26" man="1"/>
  </rowBreaks>
  <colBreaks count="1" manualBreakCount="1">
    <brk id="35"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D4" sqref="D4:D7"/>
    </sheetView>
  </sheetViews>
  <sheetFormatPr baseColWidth="10" defaultRowHeight="12.75" x14ac:dyDescent="0.2"/>
  <cols>
    <col min="2" max="2" width="21.5703125" customWidth="1"/>
    <col min="3" max="3" width="15.85546875" customWidth="1"/>
    <col min="4" max="4" width="16.7109375" customWidth="1"/>
  </cols>
  <sheetData>
    <row r="1" spans="1:7" ht="13.5" thickBot="1" x14ac:dyDescent="0.25"/>
    <row r="2" spans="1:7" x14ac:dyDescent="0.2">
      <c r="A2" s="215" t="s">
        <v>140</v>
      </c>
      <c r="B2" s="216"/>
      <c r="C2" s="216"/>
      <c r="D2" s="217"/>
      <c r="E2" s="218"/>
      <c r="F2" s="218"/>
      <c r="G2" s="218"/>
    </row>
    <row r="3" spans="1:7" ht="38.25" x14ac:dyDescent="0.2">
      <c r="A3" s="161" t="s">
        <v>141</v>
      </c>
      <c r="B3" s="159" t="s">
        <v>150</v>
      </c>
      <c r="C3" s="159" t="s">
        <v>142</v>
      </c>
      <c r="D3" s="306" t="str">
        <f>'P2'!B6</f>
        <v>CONSORCIO EPSILON CUCUTA</v>
      </c>
      <c r="E3" s="219"/>
      <c r="F3" s="219"/>
      <c r="G3" s="219"/>
    </row>
    <row r="4" spans="1:7" x14ac:dyDescent="0.2">
      <c r="A4" s="727" t="s">
        <v>143</v>
      </c>
      <c r="B4" s="728">
        <v>100</v>
      </c>
      <c r="C4" s="158">
        <v>1</v>
      </c>
      <c r="D4" s="729">
        <v>800</v>
      </c>
    </row>
    <row r="5" spans="1:7" x14ac:dyDescent="0.2">
      <c r="A5" s="727"/>
      <c r="B5" s="728"/>
      <c r="C5" s="158">
        <v>2</v>
      </c>
      <c r="D5" s="729"/>
    </row>
    <row r="6" spans="1:7" x14ac:dyDescent="0.2">
      <c r="A6" s="727"/>
      <c r="B6" s="728"/>
      <c r="C6" s="465">
        <v>3</v>
      </c>
      <c r="D6" s="729"/>
    </row>
    <row r="7" spans="1:7" x14ac:dyDescent="0.2">
      <c r="A7" s="727"/>
      <c r="B7" s="728"/>
      <c r="C7" s="464">
        <v>4</v>
      </c>
      <c r="D7" s="729"/>
    </row>
    <row r="8" spans="1:7" ht="13.5" thickBot="1" x14ac:dyDescent="0.25">
      <c r="A8" s="725" t="s">
        <v>144</v>
      </c>
      <c r="B8" s="726"/>
      <c r="C8" s="726"/>
      <c r="D8" s="307">
        <f>+D4+B4</f>
        <v>900</v>
      </c>
    </row>
  </sheetData>
  <mergeCells count="4">
    <mergeCell ref="A8:C8"/>
    <mergeCell ref="A4:A7"/>
    <mergeCell ref="B4:B7"/>
    <mergeCell ref="D4:D7"/>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47"/>
  <sheetViews>
    <sheetView view="pageBreakPreview" zoomScale="40" zoomScaleNormal="80" zoomScaleSheetLayoutView="40" workbookViewId="0">
      <selection activeCell="X44" sqref="X44:AE44"/>
    </sheetView>
  </sheetViews>
  <sheetFormatPr baseColWidth="10" defaultColWidth="11.5703125" defaultRowHeight="12.75" x14ac:dyDescent="0.2"/>
  <cols>
    <col min="1" max="1" width="13.5703125" style="1" customWidth="1"/>
    <col min="2" max="2" width="27.42578125" style="1" customWidth="1"/>
    <col min="3" max="3" width="6.85546875" style="1" customWidth="1"/>
    <col min="4" max="4" width="6.5703125" style="1" customWidth="1"/>
    <col min="5" max="5" width="6.28515625" style="1" customWidth="1"/>
    <col min="6" max="6" width="5.85546875" style="1" customWidth="1"/>
    <col min="7" max="7" width="6.140625" style="1" customWidth="1"/>
    <col min="8" max="8" width="6.7109375" style="1" customWidth="1"/>
    <col min="9" max="9" width="14.28515625" style="1" customWidth="1"/>
    <col min="10" max="10" width="15.140625" style="1" customWidth="1"/>
    <col min="11" max="11" width="14.7109375" style="1" customWidth="1"/>
    <col min="12" max="12" width="17.7109375" style="1" customWidth="1"/>
    <col min="13" max="13" width="19.28515625" style="1" customWidth="1"/>
    <col min="14" max="14" width="15" style="1" customWidth="1"/>
    <col min="15" max="17" width="15.42578125" style="1" customWidth="1"/>
    <col min="18" max="19" width="16.28515625" style="1" customWidth="1"/>
    <col min="20" max="20" width="22.7109375" style="1" customWidth="1"/>
    <col min="21" max="21" width="26.42578125" style="3" customWidth="1"/>
    <col min="22" max="22" width="18" style="3" customWidth="1"/>
    <col min="23" max="23" width="23.42578125" style="3" customWidth="1"/>
    <col min="24" max="24" width="24.42578125" style="3" customWidth="1"/>
    <col min="25" max="25" width="16.7109375" style="3" customWidth="1"/>
    <col min="26" max="26" width="25" style="2" customWidth="1"/>
    <col min="27" max="27" width="17.140625" style="2" customWidth="1"/>
    <col min="28" max="28" width="16.7109375" style="2" customWidth="1"/>
    <col min="29" max="29" width="16.5703125" style="2" customWidth="1"/>
    <col min="30" max="30" width="22" style="2" bestFit="1" customWidth="1"/>
    <col min="31" max="31" width="18" style="2" customWidth="1"/>
    <col min="32" max="32" width="17" style="2" customWidth="1"/>
    <col min="33" max="33" width="16.42578125" style="2" customWidth="1"/>
    <col min="34" max="35" width="16.85546875" style="2" customWidth="1"/>
    <col min="36" max="36" width="15.85546875" style="2" customWidth="1"/>
    <col min="37" max="37" width="17.140625" style="2" customWidth="1"/>
    <col min="38" max="38" width="16.28515625" style="1" customWidth="1"/>
    <col min="39" max="39" width="16.7109375" style="1" customWidth="1"/>
    <col min="40" max="40" width="17.140625" style="1" customWidth="1"/>
    <col min="41" max="41" width="2.28515625" style="1" bestFit="1" customWidth="1"/>
    <col min="42" max="42" width="5" style="1" bestFit="1" customWidth="1"/>
    <col min="43" max="43" width="2.28515625" style="1" bestFit="1" customWidth="1"/>
    <col min="44" max="44" width="5" style="1" bestFit="1" customWidth="1"/>
    <col min="45" max="45" width="5.5703125" style="1" bestFit="1" customWidth="1"/>
    <col min="46" max="46" width="6.5703125" style="1" bestFit="1" customWidth="1"/>
    <col min="47" max="47" width="2.42578125" style="1" bestFit="1" customWidth="1"/>
    <col min="48" max="48" width="8.7109375" style="1" bestFit="1" customWidth="1"/>
    <col min="49" max="49" width="11.42578125" style="1" bestFit="1" customWidth="1"/>
    <col min="50" max="16384" width="11.5703125" style="1"/>
  </cols>
  <sheetData>
    <row r="1" spans="1:49" ht="21" customHeight="1" x14ac:dyDescent="0.2">
      <c r="A1" s="90" t="s">
        <v>146</v>
      </c>
    </row>
    <row r="2" spans="1:49" ht="8.25" customHeight="1" x14ac:dyDescent="0.2"/>
    <row r="3" spans="1:49" ht="22.5" customHeight="1" thickBot="1" x14ac:dyDescent="0.25">
      <c r="A3" s="74" t="s">
        <v>135</v>
      </c>
      <c r="B3" s="73"/>
      <c r="C3" s="73"/>
      <c r="D3" s="73"/>
      <c r="E3" s="73"/>
      <c r="F3" s="73"/>
      <c r="G3" s="73"/>
      <c r="H3" s="73"/>
      <c r="I3" s="73"/>
      <c r="J3" s="73"/>
      <c r="K3" s="73"/>
      <c r="L3" s="73"/>
      <c r="M3" s="73"/>
      <c r="N3" s="73"/>
      <c r="O3" s="73"/>
      <c r="P3" s="73"/>
      <c r="Q3" s="73"/>
      <c r="R3" s="73"/>
      <c r="S3" s="73"/>
      <c r="T3" s="79"/>
      <c r="U3" s="79"/>
      <c r="V3" s="79"/>
      <c r="W3" s="79"/>
      <c r="X3" s="79"/>
      <c r="Y3" s="79"/>
      <c r="Z3" s="79"/>
      <c r="AA3" s="79"/>
      <c r="AB3" s="79"/>
      <c r="AC3" s="79"/>
      <c r="AD3" s="79"/>
      <c r="AE3" s="79"/>
      <c r="AF3" s="79"/>
      <c r="AG3" s="79"/>
      <c r="AH3" s="79"/>
      <c r="AI3" s="79"/>
      <c r="AJ3" s="79"/>
      <c r="AK3" s="79"/>
    </row>
    <row r="4" spans="1:49" ht="24" customHeight="1" x14ac:dyDescent="0.2">
      <c r="A4" s="789" t="s">
        <v>4</v>
      </c>
      <c r="B4" s="791" t="s">
        <v>71</v>
      </c>
      <c r="C4" s="793" t="s">
        <v>123</v>
      </c>
      <c r="D4" s="794"/>
      <c r="E4" s="794"/>
      <c r="F4" s="795"/>
      <c r="G4" s="793" t="s">
        <v>68</v>
      </c>
      <c r="H4" s="795"/>
      <c r="I4" s="793" t="s">
        <v>134</v>
      </c>
      <c r="J4" s="794"/>
      <c r="K4" s="794"/>
      <c r="L4" s="794"/>
      <c r="M4" s="794"/>
      <c r="N4" s="795"/>
      <c r="O4" s="799" t="s">
        <v>106</v>
      </c>
      <c r="P4" s="691" t="s">
        <v>2</v>
      </c>
      <c r="Q4" s="692"/>
      <c r="R4" s="692"/>
      <c r="S4" s="692"/>
      <c r="T4" s="692"/>
      <c r="U4" s="692"/>
      <c r="V4" s="693"/>
      <c r="W4" s="84"/>
      <c r="X4" s="84"/>
      <c r="Y4" s="84"/>
      <c r="Z4" s="85"/>
      <c r="AA4" s="85"/>
      <c r="AB4" s="138" t="s">
        <v>129</v>
      </c>
      <c r="AC4" s="85" t="s">
        <v>130</v>
      </c>
      <c r="AD4" s="85" t="s">
        <v>131</v>
      </c>
      <c r="AE4" s="85" t="s">
        <v>168</v>
      </c>
      <c r="AF4" s="85"/>
      <c r="AG4" s="85"/>
      <c r="AH4" s="85"/>
      <c r="AI4" s="85"/>
      <c r="AJ4" s="85"/>
      <c r="AK4" s="85"/>
    </row>
    <row r="5" spans="1:49" ht="110.25" customHeight="1" x14ac:dyDescent="0.2">
      <c r="A5" s="790" t="s">
        <v>1</v>
      </c>
      <c r="B5" s="792"/>
      <c r="C5" s="796"/>
      <c r="D5" s="797"/>
      <c r="E5" s="797"/>
      <c r="F5" s="798"/>
      <c r="G5" s="796"/>
      <c r="H5" s="798"/>
      <c r="I5" s="801" t="s">
        <v>124</v>
      </c>
      <c r="J5" s="802"/>
      <c r="K5" s="237" t="s">
        <v>109</v>
      </c>
      <c r="L5" s="251" t="s">
        <v>165</v>
      </c>
      <c r="M5" s="237" t="s">
        <v>148</v>
      </c>
      <c r="N5" s="237" t="s">
        <v>67</v>
      </c>
      <c r="O5" s="800"/>
      <c r="P5" s="694"/>
      <c r="Q5" s="695"/>
      <c r="R5" s="695"/>
      <c r="S5" s="695"/>
      <c r="T5" s="695"/>
      <c r="U5" s="695"/>
      <c r="V5" s="696"/>
      <c r="W5" s="82"/>
      <c r="X5" s="82"/>
      <c r="Y5" s="82"/>
      <c r="Z5" s="86"/>
      <c r="AA5" s="86"/>
      <c r="AB5" s="85">
        <v>1</v>
      </c>
      <c r="AC5" s="139">
        <v>389787733</v>
      </c>
      <c r="AD5" s="139">
        <f>+AC5*1.5</f>
        <v>584681599.5</v>
      </c>
      <c r="AE5" s="141">
        <f>+AD5/589500</f>
        <v>991.82629262086516</v>
      </c>
      <c r="AF5" s="86"/>
      <c r="AG5" s="86"/>
      <c r="AH5" s="86"/>
      <c r="AI5" s="86"/>
      <c r="AJ5" s="86"/>
      <c r="AK5" s="86"/>
    </row>
    <row r="6" spans="1:49" ht="27" customHeight="1" thickBot="1" x14ac:dyDescent="0.25">
      <c r="A6" s="236">
        <v>3</v>
      </c>
      <c r="B6" s="103" t="str">
        <f>INDEX(PROPONENTES!B1:B8,MATCH(A6,PROPONENTES!A1:A8,0))</f>
        <v>CONSORCIO INTERCON-APM</v>
      </c>
      <c r="C6" s="699" t="s">
        <v>72</v>
      </c>
      <c r="D6" s="699"/>
      <c r="E6" s="700" t="s">
        <v>73</v>
      </c>
      <c r="F6" s="700"/>
      <c r="G6" s="701"/>
      <c r="H6" s="702"/>
      <c r="I6" s="702"/>
      <c r="J6" s="702"/>
      <c r="K6" s="702"/>
      <c r="L6" s="702"/>
      <c r="M6" s="703"/>
      <c r="N6" s="103" t="str">
        <f>IF(OR(N7="HABIL",N7="N. A."),IF(OR(N8="HABIL",N8="N. A."),IF(OR(N9="HABIL",N9="N. A."),"HABIL"),"NO HABIL"))</f>
        <v>HABIL</v>
      </c>
      <c r="O6" s="104"/>
      <c r="P6" s="666"/>
      <c r="Q6" s="667"/>
      <c r="R6" s="667"/>
      <c r="S6" s="667"/>
      <c r="T6" s="667"/>
      <c r="U6" s="667"/>
      <c r="V6" s="668"/>
      <c r="W6" s="83"/>
      <c r="X6" s="83"/>
      <c r="Y6" s="83"/>
      <c r="Z6" s="80"/>
      <c r="AA6" s="80"/>
      <c r="AB6" s="85">
        <v>2</v>
      </c>
      <c r="AC6" s="139">
        <v>6090533758</v>
      </c>
      <c r="AD6" s="140">
        <f>+AC6*0.4</f>
        <v>2436213503.2000003</v>
      </c>
      <c r="AE6" s="141">
        <f>+AD6/589500</f>
        <v>4132.6776983884656</v>
      </c>
      <c r="AF6" s="80"/>
      <c r="AG6" s="80"/>
      <c r="AH6" s="80"/>
      <c r="AI6" s="80"/>
      <c r="AJ6" s="80"/>
      <c r="AK6" s="80"/>
    </row>
    <row r="7" spans="1:49" ht="30.75" customHeight="1" thickTop="1" x14ac:dyDescent="0.2">
      <c r="A7" s="105" t="str">
        <f>CONCATENATE($A$6,"A")</f>
        <v>3A</v>
      </c>
      <c r="B7" s="106" t="str">
        <f>IFERROR(INDEX(PROPONENTES!$F$1:$F$23,MATCH(A7,PROPONENTES!$E$1:$E$23,0)),"")</f>
        <v>ICEACSA CONSULTORES SUCURSAL COLOMBIA</v>
      </c>
      <c r="C7" s="707">
        <f>IFERROR(INDEX(PROPONENTES!$H$1:$H$26,MATCH(A7,PROPONENTES!$E$1:$E$26,0)),"")</f>
        <v>0.6</v>
      </c>
      <c r="D7" s="707"/>
      <c r="E7" s="638" t="str">
        <f>IF(B7="","N. A.",IF(C7&lt;=40%,"NO LIDER","LIDER"))</f>
        <v>LIDER</v>
      </c>
      <c r="F7" s="638"/>
      <c r="G7" s="670" t="s">
        <v>77</v>
      </c>
      <c r="H7" s="670"/>
      <c r="I7" s="638" t="str">
        <f>IF(B7="","N.A.",IF(OR(G7="E"),"APLICA FORMATO 1","APLICA RUP"))</f>
        <v>APLICA RUP</v>
      </c>
      <c r="J7" s="638"/>
      <c r="K7" s="227" t="s">
        <v>78</v>
      </c>
      <c r="L7" s="227" t="s">
        <v>78</v>
      </c>
      <c r="M7" s="88" t="s">
        <v>108</v>
      </c>
      <c r="N7" s="97" t="str">
        <f>IF(B7="","N. A.",IF(AND(K7="SI",L7="SI",M7="N.A."),"HABIL","NO HABIL"))</f>
        <v>HABIL</v>
      </c>
      <c r="O7" s="229">
        <v>26</v>
      </c>
      <c r="P7" s="666" t="s">
        <v>163</v>
      </c>
      <c r="Q7" s="667"/>
      <c r="R7" s="667"/>
      <c r="S7" s="667"/>
      <c r="T7" s="667"/>
      <c r="U7" s="667"/>
      <c r="V7" s="668"/>
      <c r="W7" s="83"/>
      <c r="X7" s="83"/>
      <c r="Y7" s="83"/>
      <c r="Z7" s="81"/>
      <c r="AA7" s="81"/>
      <c r="AB7" s="85"/>
      <c r="AC7" s="139"/>
      <c r="AD7" s="140"/>
      <c r="AE7" s="141"/>
      <c r="AF7" s="81"/>
      <c r="AG7" s="81"/>
      <c r="AH7" s="81"/>
      <c r="AI7" s="81"/>
      <c r="AJ7" s="81"/>
      <c r="AK7" s="81"/>
      <c r="AM7" s="88" t="s">
        <v>77</v>
      </c>
      <c r="AN7" s="88" t="s">
        <v>78</v>
      </c>
      <c r="AO7" s="88" t="e">
        <f>IF(#REF!="HABIL",1,0)</f>
        <v>#REF!</v>
      </c>
      <c r="AP7" s="89" t="e">
        <f>SUM(AO7:AO9)</f>
        <v>#REF!</v>
      </c>
      <c r="AQ7" s="88">
        <f>IF(J16="HABIL",1,0)</f>
        <v>1</v>
      </c>
      <c r="AR7" s="89">
        <f>SUM(AQ7:AQ9)</f>
        <v>2</v>
      </c>
      <c r="AS7" s="88">
        <f>IF(B7="",0,IF(G7="O",17420*C7,0))</f>
        <v>10452</v>
      </c>
      <c r="AT7" s="88">
        <f>SUM(AS7:AS9)</f>
        <v>17420</v>
      </c>
      <c r="AU7" s="88" t="s">
        <v>74</v>
      </c>
      <c r="AV7" s="88" t="s">
        <v>76</v>
      </c>
      <c r="AW7" s="88">
        <v>0</v>
      </c>
    </row>
    <row r="8" spans="1:49" ht="38.25" customHeight="1" x14ac:dyDescent="0.2">
      <c r="A8" s="107" t="str">
        <f>CONCATENATE($A$6,"B")</f>
        <v>3B</v>
      </c>
      <c r="B8" s="108" t="str">
        <f>IFERROR(INDEX(PROPONENTES!$F$1:$F$23,MATCH(A8,PROPONENTES!$E$1:$E$23,0)),"")</f>
        <v>COPEBA LTDA</v>
      </c>
      <c r="C8" s="669">
        <f>IFERROR(INDEX(PROPONENTES!$H$1:$H$26,MATCH(A8,PROPONENTES!$E$1:$E$26,0)),"")</f>
        <v>0.3</v>
      </c>
      <c r="D8" s="669"/>
      <c r="E8" s="638" t="str">
        <f>IF(B8="","N. A.",IF(C8&lt;=40%,"NO LIDER","LIDER"))</f>
        <v>NO LIDER</v>
      </c>
      <c r="F8" s="638"/>
      <c r="G8" s="670" t="s">
        <v>77</v>
      </c>
      <c r="H8" s="670"/>
      <c r="I8" s="639" t="str">
        <f>IF(B8="","N.A.",IF(OR(G8="E"),"APLICA FORMATO 1","APLICA RUP"))</f>
        <v>APLICA RUP</v>
      </c>
      <c r="J8" s="639"/>
      <c r="K8" s="168" t="s">
        <v>78</v>
      </c>
      <c r="L8" s="168" t="s">
        <v>78</v>
      </c>
      <c r="M8" s="250" t="s">
        <v>108</v>
      </c>
      <c r="N8" s="48" t="str">
        <f>IF(B8="","N. A.",IF(AND(K8="SI",L8="SI",M8="N.A."),"HABIL","NO HABIL"))</f>
        <v>HABIL</v>
      </c>
      <c r="O8" s="230">
        <v>35</v>
      </c>
      <c r="P8" s="666" t="s">
        <v>163</v>
      </c>
      <c r="Q8" s="667"/>
      <c r="R8" s="667"/>
      <c r="S8" s="667"/>
      <c r="T8" s="667"/>
      <c r="U8" s="667"/>
      <c r="V8" s="668"/>
      <c r="W8" s="83"/>
      <c r="X8" s="83"/>
      <c r="Y8" s="83"/>
      <c r="Z8" s="81"/>
      <c r="AA8" s="81"/>
      <c r="AB8" s="85"/>
      <c r="AC8" s="139"/>
      <c r="AD8" s="140"/>
      <c r="AE8" s="141"/>
      <c r="AF8" s="81"/>
      <c r="AG8" s="81"/>
      <c r="AH8" s="81"/>
      <c r="AI8" s="81"/>
      <c r="AJ8" s="81"/>
      <c r="AK8" s="81"/>
      <c r="AM8" s="88" t="s">
        <v>79</v>
      </c>
      <c r="AN8" s="88" t="s">
        <v>111</v>
      </c>
      <c r="AO8" s="88" t="e">
        <f>IF(#REF!="HABIL",1,0)</f>
        <v>#REF!</v>
      </c>
      <c r="AP8" s="89"/>
      <c r="AQ8" s="88">
        <f>IF(J17="HABIL",1,0)</f>
        <v>1</v>
      </c>
      <c r="AR8" s="88"/>
      <c r="AS8" s="88">
        <f>IF(B8="",0,IF(G8="O",17420*C8,0))</f>
        <v>5226</v>
      </c>
      <c r="AU8" s="88" t="s">
        <v>75</v>
      </c>
      <c r="AV8" s="88" t="s">
        <v>108</v>
      </c>
      <c r="AW8" s="88">
        <v>150</v>
      </c>
    </row>
    <row r="9" spans="1:49" ht="29.25" customHeight="1" thickBot="1" x14ac:dyDescent="0.25">
      <c r="A9" s="109" t="str">
        <f>CONCATENATE($A$6,"C")</f>
        <v>3C</v>
      </c>
      <c r="B9" s="110" t="str">
        <f>IFERROR(INDEX(PROPONENTES!$F$1:$F$23,MATCH(A9,PROPONENTES!$E$1:$E$23,0)),"")</f>
        <v>GEOTECNICA Y CIMIENTOS "INGEOCIM LTDA"</v>
      </c>
      <c r="C9" s="803">
        <f>IFERROR(INDEX(PROPONENTES!$H$1:$H$26,MATCH(A9,PROPONENTES!$E$1:$E$26,0)),"")</f>
        <v>0.1</v>
      </c>
      <c r="D9" s="804"/>
      <c r="E9" s="628" t="str">
        <f>IF(B9="","N. A.",IF(C9&lt;=40%,"NO LIDER","LIDER"))</f>
        <v>NO LIDER</v>
      </c>
      <c r="F9" s="628"/>
      <c r="G9" s="672" t="s">
        <v>77</v>
      </c>
      <c r="H9" s="672"/>
      <c r="I9" s="628" t="str">
        <f>IF(B9="","N.A.",IF(OR(G9="E"),"APLICA FORMATO 1","APLICA RUP"))</f>
        <v>APLICA RUP</v>
      </c>
      <c r="J9" s="628"/>
      <c r="K9" s="228" t="s">
        <v>78</v>
      </c>
      <c r="L9" s="228" t="s">
        <v>78</v>
      </c>
      <c r="M9" s="261" t="s">
        <v>108</v>
      </c>
      <c r="N9" s="49" t="str">
        <f>IF(B9="","N. A.",IF(AND(K9="SI",L9="SI",M9="N.A."),"HABIL","NO HABIL"))</f>
        <v>HABIL</v>
      </c>
      <c r="O9" s="352">
        <v>45</v>
      </c>
      <c r="P9" s="673" t="s">
        <v>163</v>
      </c>
      <c r="Q9" s="674"/>
      <c r="R9" s="674"/>
      <c r="S9" s="674"/>
      <c r="T9" s="674"/>
      <c r="U9" s="674"/>
      <c r="V9" s="675"/>
      <c r="W9" s="83"/>
      <c r="X9" s="83"/>
      <c r="Y9" s="83"/>
      <c r="Z9" s="81"/>
      <c r="AA9" s="81"/>
      <c r="AB9" s="85"/>
      <c r="AC9" s="139"/>
      <c r="AD9" s="140"/>
      <c r="AE9" s="141"/>
      <c r="AF9" s="81"/>
      <c r="AG9" s="81"/>
      <c r="AH9" s="81"/>
      <c r="AI9" s="81"/>
      <c r="AJ9" s="81"/>
      <c r="AK9" s="81"/>
      <c r="AM9" s="88"/>
      <c r="AN9" s="88"/>
      <c r="AO9" s="88" t="e">
        <f>IF(#REF!="HABIL",1,0)</f>
        <v>#REF!</v>
      </c>
      <c r="AP9" s="89"/>
      <c r="AQ9" s="88">
        <f>IF(J19="HABIL",1,0)</f>
        <v>0</v>
      </c>
      <c r="AR9" s="88"/>
      <c r="AS9" s="88">
        <f>IF(B9="",0,IF(G9="O",17420*C9,0))</f>
        <v>1742</v>
      </c>
    </row>
    <row r="10" spans="1:49" ht="22.5" customHeight="1" x14ac:dyDescent="0.2">
      <c r="AB10" s="85"/>
      <c r="AC10" s="139"/>
      <c r="AD10" s="140"/>
      <c r="AE10" s="141"/>
      <c r="AP10" s="3"/>
    </row>
    <row r="11" spans="1:49" ht="22.5" customHeight="1" x14ac:dyDescent="0.2">
      <c r="AB11" s="85"/>
      <c r="AC11" s="139"/>
      <c r="AD11" s="140"/>
      <c r="AE11" s="141"/>
      <c r="AP11" s="3"/>
    </row>
    <row r="12" spans="1:49" ht="18" customHeight="1" thickBot="1" x14ac:dyDescent="0.25">
      <c r="A12" s="74" t="s">
        <v>125</v>
      </c>
      <c r="AB12" s="85"/>
      <c r="AC12" s="139"/>
      <c r="AD12" s="139"/>
      <c r="AE12" s="141"/>
      <c r="AP12" s="3"/>
    </row>
    <row r="13" spans="1:49" ht="23.25" customHeight="1" x14ac:dyDescent="0.2">
      <c r="A13" s="653" t="s">
        <v>4</v>
      </c>
      <c r="B13" s="655" t="s">
        <v>71</v>
      </c>
      <c r="C13" s="657" t="str">
        <f>+C4</f>
        <v>INTEGRANTE LIDER MINIMO 60% DE PARTICIPACION</v>
      </c>
      <c r="D13" s="658"/>
      <c r="E13" s="658"/>
      <c r="F13" s="659"/>
      <c r="G13" s="657" t="s">
        <v>68</v>
      </c>
      <c r="H13" s="659"/>
      <c r="I13" s="663" t="s">
        <v>66</v>
      </c>
      <c r="J13" s="664"/>
      <c r="K13" s="540" t="s">
        <v>106</v>
      </c>
      <c r="L13" s="644" t="s">
        <v>2</v>
      </c>
      <c r="M13" s="620"/>
      <c r="N13" s="620"/>
      <c r="O13" s="620"/>
      <c r="P13" s="620"/>
      <c r="Q13" s="621"/>
      <c r="AB13" s="85"/>
      <c r="AC13" s="139"/>
      <c r="AD13" s="139"/>
      <c r="AE13" s="141"/>
      <c r="AP13" s="3"/>
    </row>
    <row r="14" spans="1:49" ht="72" customHeight="1" x14ac:dyDescent="0.2">
      <c r="A14" s="654" t="s">
        <v>1</v>
      </c>
      <c r="B14" s="656"/>
      <c r="C14" s="660"/>
      <c r="D14" s="661"/>
      <c r="E14" s="661"/>
      <c r="F14" s="662"/>
      <c r="G14" s="660"/>
      <c r="H14" s="662"/>
      <c r="I14" s="47" t="s">
        <v>257</v>
      </c>
      <c r="J14" s="47" t="s">
        <v>161</v>
      </c>
      <c r="K14" s="665"/>
      <c r="L14" s="645"/>
      <c r="M14" s="646"/>
      <c r="N14" s="646"/>
      <c r="O14" s="646"/>
      <c r="P14" s="646"/>
      <c r="Q14" s="647"/>
      <c r="AB14" s="85"/>
      <c r="AC14" s="139"/>
      <c r="AD14" s="139"/>
      <c r="AE14" s="141"/>
      <c r="AP14" s="3"/>
    </row>
    <row r="15" spans="1:49" ht="36.75" customHeight="1" thickBot="1" x14ac:dyDescent="0.25">
      <c r="A15" s="77">
        <f t="shared" ref="A15:C18" si="0">+A6</f>
        <v>3</v>
      </c>
      <c r="B15" s="76" t="str">
        <f t="shared" si="0"/>
        <v>CONSORCIO INTERCON-APM</v>
      </c>
      <c r="C15" s="648" t="str">
        <f t="shared" si="0"/>
        <v>%</v>
      </c>
      <c r="D15" s="649"/>
      <c r="E15" s="650" t="str">
        <f>+E6</f>
        <v>Condición integrante</v>
      </c>
      <c r="F15" s="651"/>
      <c r="G15" s="805"/>
      <c r="H15" s="806"/>
      <c r="I15" s="93"/>
      <c r="J15" s="76" t="str">
        <f>IF(AND(J16="N. A.",J17="N. A.",J18="N. A.",J19="N. A."),"N. A.",IF(AR7&gt;=1,"HABIL","NO HABIL"))</f>
        <v>HABIL</v>
      </c>
      <c r="K15" s="78"/>
      <c r="L15" s="641"/>
      <c r="M15" s="642"/>
      <c r="N15" s="642"/>
      <c r="O15" s="642"/>
      <c r="P15" s="642"/>
      <c r="Q15" s="643"/>
      <c r="AP15" s="3"/>
    </row>
    <row r="16" spans="1:49" ht="31.5" customHeight="1" thickTop="1" x14ac:dyDescent="0.2">
      <c r="A16" s="95" t="str">
        <f t="shared" si="0"/>
        <v>3A</v>
      </c>
      <c r="B16" s="96" t="str">
        <f t="shared" si="0"/>
        <v>ICEACSA CONSULTORES SUCURSAL COLOMBIA</v>
      </c>
      <c r="C16" s="637">
        <f t="shared" si="0"/>
        <v>0.6</v>
      </c>
      <c r="D16" s="638"/>
      <c r="E16" s="638" t="str">
        <f>IFERROR(INDEX($E$7:$E$9,MATCH(B16,$B$7:$B$9,0)),"N.A.")</f>
        <v>LIDER</v>
      </c>
      <c r="F16" s="638"/>
      <c r="G16" s="652" t="s">
        <v>77</v>
      </c>
      <c r="H16" s="638"/>
      <c r="I16" s="221">
        <v>27.674199999999999</v>
      </c>
      <c r="J16" s="167" t="str">
        <f>IF(B7="","N. A.",IF(AND(G7="O",I16&gt;=10),"HABIL",IF(AND(G7="O",I16&lt;10),"NO HABIL","N. A.")))</f>
        <v>HABIL</v>
      </c>
      <c r="K16" s="222">
        <v>27</v>
      </c>
      <c r="L16" s="641"/>
      <c r="M16" s="642"/>
      <c r="N16" s="642"/>
      <c r="O16" s="642"/>
      <c r="P16" s="642"/>
      <c r="Q16" s="643"/>
      <c r="AP16" s="3"/>
    </row>
    <row r="17" spans="1:43" ht="39" customHeight="1" x14ac:dyDescent="0.2">
      <c r="A17" s="98" t="str">
        <f t="shared" si="0"/>
        <v>3B</v>
      </c>
      <c r="B17" s="99" t="str">
        <f t="shared" si="0"/>
        <v>COPEBA LTDA</v>
      </c>
      <c r="C17" s="759">
        <f t="shared" si="0"/>
        <v>0.3</v>
      </c>
      <c r="D17" s="639"/>
      <c r="E17" s="638" t="str">
        <f>IFERROR(INDEX($E$7:$E$9,MATCH(B17,$B$7:$B$9,0)),"N.A.")</f>
        <v>NO LIDER</v>
      </c>
      <c r="F17" s="638"/>
      <c r="G17" s="640" t="s">
        <v>77</v>
      </c>
      <c r="H17" s="639"/>
      <c r="I17" s="223">
        <v>17.264890000000001</v>
      </c>
      <c r="J17" s="46" t="str">
        <f>IF(B8="","N. A.",IF(AND(G8="O",I17&gt;=10),"HABIL",IF(AND(G8="O",I17&lt;10),"NO HABIL","N. A.")))</f>
        <v>HABIL</v>
      </c>
      <c r="K17" s="224">
        <v>35</v>
      </c>
      <c r="L17" s="641"/>
      <c r="M17" s="642"/>
      <c r="N17" s="642"/>
      <c r="O17" s="642"/>
      <c r="P17" s="642"/>
      <c r="Q17" s="643"/>
      <c r="AP17" s="3"/>
    </row>
    <row r="18" spans="1:43" ht="27.75" customHeight="1" x14ac:dyDescent="0.2">
      <c r="A18" s="98" t="str">
        <f t="shared" si="0"/>
        <v>3C</v>
      </c>
      <c r="B18" s="99" t="str">
        <f t="shared" si="0"/>
        <v>GEOTECNICA Y CIMIENTOS "INGEOCIM LTDA"</v>
      </c>
      <c r="C18" s="759">
        <f t="shared" si="0"/>
        <v>0.1</v>
      </c>
      <c r="D18" s="639"/>
      <c r="E18" s="638" t="str">
        <f>IFERROR(INDEX($E$7:$E$9,MATCH(B18,$B$7:$B$9,0)),"N.A.")</f>
        <v>NO LIDER</v>
      </c>
      <c r="F18" s="638"/>
      <c r="G18" s="640" t="s">
        <v>77</v>
      </c>
      <c r="H18" s="639"/>
      <c r="I18" s="223">
        <v>21.42916</v>
      </c>
      <c r="J18" s="46" t="str">
        <f>IF(B9="","N. A.",IF(AND(G9="O",I18&gt;=10),"HABIL",IF(AND(G9="O",I18&lt;10),"NO HABIL","N. A.")))</f>
        <v>HABIL</v>
      </c>
      <c r="K18" s="224">
        <v>45</v>
      </c>
      <c r="L18" s="641"/>
      <c r="M18" s="642"/>
      <c r="N18" s="642"/>
      <c r="O18" s="642"/>
      <c r="P18" s="642"/>
      <c r="Q18" s="643"/>
      <c r="AP18" s="3"/>
    </row>
    <row r="19" spans="1:43" ht="29.25" customHeight="1" thickBot="1" x14ac:dyDescent="0.25">
      <c r="A19" s="100"/>
      <c r="B19" s="101"/>
      <c r="C19" s="627"/>
      <c r="D19" s="628"/>
      <c r="E19" s="628"/>
      <c r="F19" s="628"/>
      <c r="G19" s="629"/>
      <c r="H19" s="628"/>
      <c r="I19" s="225"/>
      <c r="J19" s="75"/>
      <c r="K19" s="226"/>
      <c r="L19" s="630"/>
      <c r="M19" s="631"/>
      <c r="N19" s="631"/>
      <c r="O19" s="631"/>
      <c r="P19" s="631"/>
      <c r="Q19" s="632"/>
      <c r="AP19" s="3"/>
    </row>
    <row r="20" spans="1:43" ht="29.25" customHeight="1" x14ac:dyDescent="0.2">
      <c r="A20" s="123"/>
      <c r="B20" s="124"/>
      <c r="C20" s="125"/>
      <c r="D20" s="123"/>
      <c r="E20" s="123"/>
      <c r="F20" s="123"/>
      <c r="G20" s="126"/>
      <c r="H20" s="123"/>
      <c r="I20" s="128"/>
      <c r="J20" s="129"/>
      <c r="K20" s="130"/>
      <c r="L20" s="127"/>
      <c r="M20" s="127"/>
      <c r="N20" s="127"/>
      <c r="O20" s="127"/>
      <c r="P20" s="127"/>
      <c r="Q20" s="127"/>
      <c r="AP20" s="3"/>
    </row>
    <row r="21" spans="1:43" ht="16.5" thickBot="1" x14ac:dyDescent="0.25">
      <c r="A21" s="74" t="s">
        <v>213</v>
      </c>
      <c r="AA21" s="113"/>
      <c r="AB21" s="113"/>
      <c r="AC21" s="113"/>
      <c r="AD21" s="113"/>
      <c r="AE21" s="113"/>
      <c r="AP21" s="3"/>
    </row>
    <row r="22" spans="1:43" ht="112.5" customHeight="1" x14ac:dyDescent="0.2">
      <c r="A22" s="633" t="s">
        <v>112</v>
      </c>
      <c r="B22" s="634"/>
      <c r="C22" s="635" t="s">
        <v>113</v>
      </c>
      <c r="D22" s="634"/>
      <c r="E22" s="635" t="s">
        <v>70</v>
      </c>
      <c r="F22" s="634"/>
      <c r="G22" s="619" t="s">
        <v>114</v>
      </c>
      <c r="H22" s="620"/>
      <c r="I22" s="620"/>
      <c r="J22" s="620"/>
      <c r="K22" s="636"/>
      <c r="L22" s="121" t="s">
        <v>115</v>
      </c>
      <c r="M22" s="121" t="s">
        <v>126</v>
      </c>
      <c r="N22" s="121" t="s">
        <v>117</v>
      </c>
      <c r="O22" s="121" t="s">
        <v>118</v>
      </c>
      <c r="P22" s="277" t="s">
        <v>196</v>
      </c>
      <c r="Q22" s="121" t="s">
        <v>106</v>
      </c>
      <c r="R22" s="619" t="s">
        <v>2</v>
      </c>
      <c r="S22" s="620"/>
      <c r="T22" s="620"/>
      <c r="U22" s="620"/>
      <c r="V22" s="620"/>
      <c r="W22" s="620"/>
      <c r="X22" s="620"/>
      <c r="Y22" s="621"/>
      <c r="Z22" s="114"/>
      <c r="AA22" s="114"/>
      <c r="AB22" s="114"/>
      <c r="AC22" s="114"/>
      <c r="AD22" s="114"/>
      <c r="AE22" s="114"/>
      <c r="AF22" s="111"/>
      <c r="AG22" s="111"/>
      <c r="AH22" s="111"/>
      <c r="AI22" s="111"/>
      <c r="AJ22" s="111"/>
      <c r="AK22" s="1"/>
      <c r="AO22" s="3"/>
    </row>
    <row r="23" spans="1:43" ht="66" customHeight="1" x14ac:dyDescent="0.2">
      <c r="A23" s="622" t="s">
        <v>156</v>
      </c>
      <c r="B23" s="623"/>
      <c r="C23" s="531" t="str">
        <f>IFERROR(INDEX($E$7:$E$9,MATCH(A23,$B$7:$B$9,0)),"N.A.")</f>
        <v>LIDER</v>
      </c>
      <c r="D23" s="532"/>
      <c r="E23" s="531">
        <v>1</v>
      </c>
      <c r="F23" s="532"/>
      <c r="G23" s="571" t="str">
        <f>+G30</f>
        <v>Contrato No. 1330: Asistencia Técnica para el Control y Vigilancia de Obra (Inter ventoría) y Coordinación de Seguridad y Salud de las obras de Construcción de la Autovía AG-64 Ferrol-Vilalba. Tramo: Igreixafeita-Espiñaredo</v>
      </c>
      <c r="H23" s="572"/>
      <c r="I23" s="572"/>
      <c r="J23" s="572"/>
      <c r="K23" s="573"/>
      <c r="L23" s="211" t="str">
        <f>+M30</f>
        <v>Xunta de Galicia - Conselleria de Medio Ambiente, Territorio e Infraestructuras</v>
      </c>
      <c r="M23" s="197" t="s">
        <v>78</v>
      </c>
      <c r="N23" s="200">
        <f>+N30</f>
        <v>37839</v>
      </c>
      <c r="O23" s="200">
        <f>+O30</f>
        <v>38869</v>
      </c>
      <c r="P23" s="755" t="s">
        <v>122</v>
      </c>
      <c r="Q23" s="181" t="str">
        <f>+T30</f>
        <v>81 a 83</v>
      </c>
      <c r="R23" s="565"/>
      <c r="S23" s="566"/>
      <c r="T23" s="566"/>
      <c r="U23" s="566"/>
      <c r="V23" s="566"/>
      <c r="W23" s="566"/>
      <c r="X23" s="566"/>
      <c r="Y23" s="567"/>
      <c r="Z23" s="112"/>
      <c r="AA23" s="112"/>
      <c r="AB23" s="112"/>
      <c r="AC23" s="112"/>
      <c r="AD23" s="112"/>
      <c r="AE23" s="112"/>
      <c r="AF23" s="112"/>
      <c r="AG23" s="112"/>
      <c r="AH23" s="112"/>
      <c r="AI23" s="112"/>
      <c r="AJ23" s="112"/>
      <c r="AK23" s="1"/>
      <c r="AL23" s="1">
        <f>IF(C23="MAP",IF(M23&gt;=30%,#REF!,#REF!*M23),0)</f>
        <v>0</v>
      </c>
      <c r="AM23" s="1">
        <f>SUM(AL23:AL25)</f>
        <v>0</v>
      </c>
      <c r="AO23" s="3"/>
    </row>
    <row r="24" spans="1:43" ht="64.5" customHeight="1" x14ac:dyDescent="0.2">
      <c r="A24" s="622" t="s">
        <v>283</v>
      </c>
      <c r="B24" s="623"/>
      <c r="C24" s="531" t="str">
        <f>IFERROR(INDEX($E$7:$E$9,MATCH(A24,$B$7:$B$9,0)),"N.A.")</f>
        <v>NO LIDER</v>
      </c>
      <c r="D24" s="532"/>
      <c r="E24" s="531">
        <v>1</v>
      </c>
      <c r="F24" s="532"/>
      <c r="G24" s="571" t="str">
        <f>+G32</f>
        <v>Contrato No. 062 de 2005: Interventoría técnica, ambiental, legal, administrativa, predial, financiera, y operativa en la etapa de operación del contrato de concesión No. 0849 de 1995 desarrollo vial carretera Neiva – Espinal-Girardot.</v>
      </c>
      <c r="H24" s="572"/>
      <c r="I24" s="572"/>
      <c r="J24" s="572"/>
      <c r="K24" s="573"/>
      <c r="L24" s="211" t="str">
        <f>+M32</f>
        <v>Instituto Nacional de Concesiones - INCO</v>
      </c>
      <c r="M24" s="197" t="s">
        <v>78</v>
      </c>
      <c r="N24" s="200">
        <f>+N32</f>
        <v>38772</v>
      </c>
      <c r="O24" s="200">
        <f>+O32</f>
        <v>40656</v>
      </c>
      <c r="P24" s="557"/>
      <c r="Q24" s="181" t="str">
        <f>+T32</f>
        <v>91 a 125</v>
      </c>
      <c r="R24" s="565"/>
      <c r="S24" s="566"/>
      <c r="T24" s="566"/>
      <c r="U24" s="566"/>
      <c r="V24" s="566"/>
      <c r="W24" s="566"/>
      <c r="X24" s="566"/>
      <c r="Y24" s="567"/>
      <c r="Z24" s="112"/>
      <c r="AA24" s="112"/>
      <c r="AB24" s="112"/>
      <c r="AC24" s="112"/>
      <c r="AD24" s="112"/>
      <c r="AE24" s="112"/>
      <c r="AF24" s="112"/>
      <c r="AG24" s="112"/>
      <c r="AH24" s="112"/>
      <c r="AI24" s="112"/>
      <c r="AJ24" s="112"/>
      <c r="AK24" s="1"/>
      <c r="AL24" s="1">
        <f>IF(C24="MAP",IF(M24&gt;=30%,#REF!,#REF!*M24),0)</f>
        <v>0</v>
      </c>
      <c r="AM24" s="1">
        <f>SUM(AL24:AL26)</f>
        <v>0</v>
      </c>
      <c r="AO24" s="3"/>
    </row>
    <row r="25" spans="1:43" ht="68.25" customHeight="1" thickBot="1" x14ac:dyDescent="0.25">
      <c r="A25" s="751" t="s">
        <v>157</v>
      </c>
      <c r="B25" s="752"/>
      <c r="C25" s="807" t="str">
        <f>IFERROR(INDEX($E$7:$E$9,MATCH(A25,$B$7:$B$9,0)),"N.A.")</f>
        <v>NO LIDER</v>
      </c>
      <c r="D25" s="808"/>
      <c r="E25" s="586">
        <v>2</v>
      </c>
      <c r="F25" s="587"/>
      <c r="G25" s="597" t="str">
        <f>+G33</f>
        <v>Contrato No. 1956 de 2008: Interventoría para el mejoramiento y mantenimiento de las carreteras Carreto - Calamar - Ponedera - Palmar de Varela, códigos 2515 y 2516, Sabanalarga - Barranquilla, código 9006 y Carmen de Bolívar - Zambrano - Plato - Pueblo Nuevo - Bosconia, códigos 8001, 8002 y 8003, módulo No. 5</v>
      </c>
      <c r="H25" s="598"/>
      <c r="I25" s="598"/>
      <c r="J25" s="598"/>
      <c r="K25" s="599"/>
      <c r="L25" s="212" t="str">
        <f>+M33</f>
        <v>Instituto Nacional de Vías - INVIAS</v>
      </c>
      <c r="M25" s="201" t="s">
        <v>78</v>
      </c>
      <c r="N25" s="213">
        <f>+N33</f>
        <v>39770</v>
      </c>
      <c r="O25" s="213">
        <f>+O33</f>
        <v>40711</v>
      </c>
      <c r="P25" s="558"/>
      <c r="Q25" s="202" t="str">
        <f>+T33</f>
        <v>127 a 151</v>
      </c>
      <c r="R25" s="704"/>
      <c r="S25" s="705"/>
      <c r="T25" s="705"/>
      <c r="U25" s="705"/>
      <c r="V25" s="705"/>
      <c r="W25" s="705"/>
      <c r="X25" s="705"/>
      <c r="Y25" s="706"/>
      <c r="Z25" s="112"/>
      <c r="AA25" s="112"/>
      <c r="AB25" s="112"/>
      <c r="AC25" s="112"/>
      <c r="AD25" s="112"/>
      <c r="AE25" s="112"/>
      <c r="AF25" s="112"/>
      <c r="AG25" s="112"/>
      <c r="AH25" s="112"/>
      <c r="AI25" s="112"/>
      <c r="AJ25" s="112"/>
      <c r="AK25" s="1"/>
      <c r="AL25" s="1">
        <f>IF(C25="MAP",IF(M25&gt;=30%,#REF!,#REF!*M25),0)</f>
        <v>0</v>
      </c>
      <c r="AO25" s="3"/>
    </row>
    <row r="26" spans="1:43" ht="24" customHeight="1" x14ac:dyDescent="0.2">
      <c r="U26" s="1"/>
      <c r="Z26" s="3"/>
      <c r="AL26" s="2"/>
      <c r="AQ26" s="3"/>
    </row>
    <row r="28" spans="1:43" ht="16.5" thickBot="1" x14ac:dyDescent="0.25">
      <c r="A28" s="74" t="s">
        <v>217</v>
      </c>
      <c r="AA28" s="113"/>
      <c r="AB28" s="113"/>
      <c r="AC28" s="113"/>
      <c r="AD28" s="113"/>
      <c r="AE28" s="113"/>
      <c r="AP28" s="3"/>
    </row>
    <row r="29" spans="1:43" ht="114" customHeight="1" x14ac:dyDescent="0.2">
      <c r="A29" s="615" t="s">
        <v>112</v>
      </c>
      <c r="B29" s="541"/>
      <c r="C29" s="539" t="s">
        <v>113</v>
      </c>
      <c r="D29" s="541"/>
      <c r="E29" s="539" t="s">
        <v>70</v>
      </c>
      <c r="F29" s="541"/>
      <c r="G29" s="608" t="s">
        <v>114</v>
      </c>
      <c r="H29" s="609"/>
      <c r="I29" s="609"/>
      <c r="J29" s="609"/>
      <c r="K29" s="758"/>
      <c r="L29" s="137" t="s">
        <v>128</v>
      </c>
      <c r="M29" s="136" t="s">
        <v>115</v>
      </c>
      <c r="N29" s="121" t="s">
        <v>117</v>
      </c>
      <c r="O29" s="121" t="s">
        <v>118</v>
      </c>
      <c r="P29" s="121" t="s">
        <v>116</v>
      </c>
      <c r="Q29" s="121" t="s">
        <v>119</v>
      </c>
      <c r="R29" s="279" t="s">
        <v>189</v>
      </c>
      <c r="S29" s="279" t="s">
        <v>248</v>
      </c>
      <c r="T29" s="121" t="s">
        <v>106</v>
      </c>
      <c r="U29" s="619" t="s">
        <v>2</v>
      </c>
      <c r="V29" s="620"/>
      <c r="W29" s="620"/>
      <c r="X29" s="620"/>
      <c r="Y29" s="620"/>
      <c r="Z29" s="620"/>
      <c r="AA29" s="621"/>
      <c r="AB29" s="114"/>
      <c r="AC29" s="114"/>
      <c r="AD29" s="114"/>
      <c r="AE29" s="111"/>
      <c r="AF29" s="111"/>
      <c r="AG29" s="111"/>
      <c r="AH29" s="111"/>
      <c r="AI29" s="111"/>
      <c r="AJ29" s="111"/>
      <c r="AK29" s="1"/>
      <c r="AO29" s="3"/>
    </row>
    <row r="30" spans="1:43" s="305" customFormat="1" ht="61.5" customHeight="1" x14ac:dyDescent="0.2">
      <c r="A30" s="822" t="s">
        <v>156</v>
      </c>
      <c r="B30" s="823"/>
      <c r="C30" s="741" t="str">
        <f>IFERROR(INDEX($E$7:$E$9,MATCH(A30,$B$7:$B$9,0)),"N.A.")</f>
        <v>LIDER</v>
      </c>
      <c r="D30" s="742"/>
      <c r="E30" s="741">
        <v>1</v>
      </c>
      <c r="F30" s="742"/>
      <c r="G30" s="815" t="s">
        <v>221</v>
      </c>
      <c r="H30" s="816"/>
      <c r="I30" s="816"/>
      <c r="J30" s="816"/>
      <c r="K30" s="817"/>
      <c r="L30" s="386" t="s">
        <v>222</v>
      </c>
      <c r="M30" s="252" t="s">
        <v>223</v>
      </c>
      <c r="N30" s="185">
        <v>37839</v>
      </c>
      <c r="O30" s="185">
        <v>38869</v>
      </c>
      <c r="P30" s="253">
        <v>1</v>
      </c>
      <c r="Q30" s="254">
        <f>+(1115922.37*3306.43)/332000</f>
        <v>11113.612053732229</v>
      </c>
      <c r="R30" s="308" t="str">
        <f>IF(((Q30)&gt;='Calificación Técnica'!$E$18),"HABIL",IF(((Q30)&lt;'Calificación Técnica'!$E$18),"NO HABIL",))</f>
        <v>HABIL</v>
      </c>
      <c r="S30" s="809" t="str">
        <f>IF(($Q$30+$Q$31)&gt;='Calificación Técnica'!E14*0.6,IF(($Q$32+$Q$33)&gt;='Calificación Técnica'!E14*0.4,"HABIL","NO HABIL"))</f>
        <v>HABIL</v>
      </c>
      <c r="T30" s="382" t="s">
        <v>321</v>
      </c>
      <c r="U30" s="737"/>
      <c r="V30" s="738"/>
      <c r="W30" s="738"/>
      <c r="X30" s="738"/>
      <c r="Y30" s="738"/>
      <c r="Z30" s="738"/>
      <c r="AA30" s="739"/>
      <c r="AB30" s="309"/>
      <c r="AC30" s="309"/>
      <c r="AD30" s="309"/>
      <c r="AE30" s="309"/>
      <c r="AF30" s="309"/>
      <c r="AG30" s="309"/>
      <c r="AH30" s="309"/>
      <c r="AI30" s="309"/>
      <c r="AJ30" s="309"/>
      <c r="AK30" s="309"/>
      <c r="AL30" s="309"/>
      <c r="AN30" s="305">
        <f>IF(C30="MAP",IF(N30&gt;=30%,#REF!,#REF!*N30),0)</f>
        <v>0</v>
      </c>
      <c r="AO30" s="305">
        <f>SUM(AN30:AN33)</f>
        <v>0</v>
      </c>
      <c r="AQ30" s="310"/>
    </row>
    <row r="31" spans="1:43" s="305" customFormat="1" ht="63.75" customHeight="1" x14ac:dyDescent="0.2">
      <c r="A31" s="822" t="s">
        <v>156</v>
      </c>
      <c r="B31" s="823"/>
      <c r="C31" s="741" t="str">
        <f>IFERROR(INDEX($E$7:$E$9,MATCH(A31,$B$7:$B$9,0)),"N.A.")</f>
        <v>LIDER</v>
      </c>
      <c r="D31" s="742"/>
      <c r="E31" s="741">
        <v>2</v>
      </c>
      <c r="F31" s="742"/>
      <c r="G31" s="571" t="s">
        <v>224</v>
      </c>
      <c r="H31" s="572"/>
      <c r="I31" s="572"/>
      <c r="J31" s="572"/>
      <c r="K31" s="573"/>
      <c r="L31" s="191" t="s">
        <v>222</v>
      </c>
      <c r="M31" s="182" t="s">
        <v>225</v>
      </c>
      <c r="N31" s="185">
        <v>39400</v>
      </c>
      <c r="O31" s="185">
        <v>40968</v>
      </c>
      <c r="P31" s="197">
        <v>0.5</v>
      </c>
      <c r="Q31" s="199">
        <f>(2033765.73*2996.75)/433700</f>
        <v>14052.772541797325</v>
      </c>
      <c r="R31" s="308" t="str">
        <f>IF(((Q31)&gt;='Calificación Técnica'!$E$18),"HABIL",IF(((Q31)&lt;'Calificación Técnica'!$E$18),"NO HABIL",))</f>
        <v>HABIL</v>
      </c>
      <c r="S31" s="810"/>
      <c r="T31" s="382" t="s">
        <v>322</v>
      </c>
      <c r="U31" s="737"/>
      <c r="V31" s="738"/>
      <c r="W31" s="738"/>
      <c r="X31" s="738"/>
      <c r="Y31" s="738"/>
      <c r="Z31" s="738"/>
      <c r="AA31" s="739"/>
      <c r="AB31" s="309"/>
      <c r="AC31" s="309"/>
      <c r="AD31" s="309"/>
      <c r="AE31" s="309"/>
      <c r="AF31" s="309"/>
      <c r="AG31" s="309"/>
      <c r="AH31" s="309"/>
      <c r="AI31" s="309"/>
      <c r="AJ31" s="309"/>
      <c r="AK31" s="309"/>
      <c r="AL31" s="309"/>
      <c r="AN31" s="305">
        <f>IF(C31="MAP",IF(N31&gt;=30%,#REF!,#REF!*N31),0)</f>
        <v>0</v>
      </c>
      <c r="AO31" s="305">
        <f>SUM(AP31:AP34)</f>
        <v>0</v>
      </c>
      <c r="AQ31" s="310"/>
    </row>
    <row r="32" spans="1:43" s="305" customFormat="1" ht="51" customHeight="1" x14ac:dyDescent="0.2">
      <c r="A32" s="822" t="s">
        <v>283</v>
      </c>
      <c r="B32" s="823"/>
      <c r="C32" s="741" t="str">
        <f>IFERROR(INDEX($E$7:$E$9,MATCH(A32,$B$7:$B$9,0)),"N.A.")</f>
        <v>NO LIDER</v>
      </c>
      <c r="D32" s="742"/>
      <c r="E32" s="741">
        <v>1</v>
      </c>
      <c r="F32" s="742"/>
      <c r="G32" s="571" t="s">
        <v>226</v>
      </c>
      <c r="H32" s="572"/>
      <c r="I32" s="572"/>
      <c r="J32" s="572"/>
      <c r="K32" s="573"/>
      <c r="L32" s="191" t="s">
        <v>133</v>
      </c>
      <c r="M32" s="182" t="s">
        <v>227</v>
      </c>
      <c r="N32" s="200">
        <v>38772</v>
      </c>
      <c r="O32" s="200">
        <v>40656</v>
      </c>
      <c r="P32" s="197">
        <v>0.5</v>
      </c>
      <c r="Q32" s="199">
        <f>+(2886785280/381500)+(115909520/408000)+(305088445/496900)+(1344546519/515000)+(141503092/535600)</f>
        <v>11339.974848133003</v>
      </c>
      <c r="R32" s="308" t="s">
        <v>108</v>
      </c>
      <c r="S32" s="810"/>
      <c r="T32" s="382" t="s">
        <v>323</v>
      </c>
      <c r="U32" s="737"/>
      <c r="V32" s="738"/>
      <c r="W32" s="738"/>
      <c r="X32" s="738"/>
      <c r="Y32" s="738"/>
      <c r="Z32" s="738"/>
      <c r="AA32" s="739"/>
      <c r="AB32" s="309"/>
      <c r="AC32" s="309"/>
      <c r="AD32" s="309"/>
      <c r="AE32" s="309"/>
      <c r="AF32" s="309"/>
      <c r="AG32" s="309"/>
      <c r="AH32" s="309"/>
      <c r="AI32" s="309"/>
      <c r="AJ32" s="309"/>
      <c r="AK32" s="309"/>
      <c r="AL32" s="309"/>
      <c r="AN32" s="305">
        <f>IF(C32="MAP",IF(N32&gt;=30%,#REF!,#REF!*N32),0)</f>
        <v>0</v>
      </c>
      <c r="AQ32" s="310"/>
    </row>
    <row r="33" spans="1:47" s="305" customFormat="1" ht="62.25" customHeight="1" thickBot="1" x14ac:dyDescent="0.25">
      <c r="A33" s="820" t="s">
        <v>157</v>
      </c>
      <c r="B33" s="821"/>
      <c r="C33" s="818" t="str">
        <f>IFERROR(INDEX($E$7:$E$9,MATCH(A33,$B$7:$B$9,0)),"N.A.")</f>
        <v>NO LIDER</v>
      </c>
      <c r="D33" s="819"/>
      <c r="E33" s="818">
        <v>2</v>
      </c>
      <c r="F33" s="819"/>
      <c r="G33" s="597" t="s">
        <v>228</v>
      </c>
      <c r="H33" s="598"/>
      <c r="I33" s="598"/>
      <c r="J33" s="598"/>
      <c r="K33" s="599"/>
      <c r="L33" s="208" t="s">
        <v>133</v>
      </c>
      <c r="M33" s="186" t="s">
        <v>164</v>
      </c>
      <c r="N33" s="187">
        <v>39770</v>
      </c>
      <c r="O33" s="187">
        <v>40711</v>
      </c>
      <c r="P33" s="201">
        <v>0.9</v>
      </c>
      <c r="Q33" s="214">
        <f>2159192501/461500</f>
        <v>4678.6403055254605</v>
      </c>
      <c r="R33" s="311" t="s">
        <v>108</v>
      </c>
      <c r="S33" s="811"/>
      <c r="T33" s="384" t="s">
        <v>324</v>
      </c>
      <c r="U33" s="812"/>
      <c r="V33" s="813"/>
      <c r="W33" s="813"/>
      <c r="X33" s="813"/>
      <c r="Y33" s="813"/>
      <c r="Z33" s="813"/>
      <c r="AA33" s="814"/>
      <c r="AB33" s="309"/>
      <c r="AC33" s="309"/>
      <c r="AD33" s="309"/>
      <c r="AE33" s="309"/>
      <c r="AF33" s="309"/>
      <c r="AG33" s="309"/>
      <c r="AH33" s="309"/>
      <c r="AI33" s="309"/>
      <c r="AJ33" s="309"/>
      <c r="AK33" s="309"/>
      <c r="AL33" s="309"/>
      <c r="AN33" s="305">
        <f>IF(C33="MAP",IF(N33&gt;=30%,#REF!,#REF!*N33),0)</f>
        <v>0</v>
      </c>
    </row>
    <row r="34" spans="1:47" x14ac:dyDescent="0.2">
      <c r="Q34" s="300">
        <f>SUM(Q30:Q33)</f>
        <v>41184.99974918802</v>
      </c>
      <c r="R34" s="285" t="str">
        <f>IF(B4="","N. A.",IF((Q34&gt;='Calificación Técnica'!E14),"CUMPLE",IF((Q34&lt;'Calificación Técnica'!E14),"NO CUMPLE","N. A.")))</f>
        <v>CUMPLE</v>
      </c>
    </row>
    <row r="36" spans="1:47" ht="25.5" x14ac:dyDescent="0.2">
      <c r="A36" s="90" t="s">
        <v>145</v>
      </c>
      <c r="U36" s="1"/>
      <c r="Z36" s="3"/>
      <c r="AL36" s="2"/>
      <c r="AM36" s="2"/>
      <c r="AN36" s="2"/>
      <c r="AO36" s="2"/>
      <c r="AP36" s="2"/>
      <c r="AQ36" s="2"/>
      <c r="AR36" s="2"/>
      <c r="AS36" s="2"/>
      <c r="AT36" s="2"/>
    </row>
    <row r="37" spans="1:47" ht="16.5" thickBot="1" x14ac:dyDescent="0.25">
      <c r="A37" s="74" t="s">
        <v>220</v>
      </c>
      <c r="U37" s="1"/>
      <c r="V37" s="1"/>
      <c r="Z37" s="3"/>
      <c r="AA37" s="3"/>
      <c r="AL37" s="2"/>
      <c r="AM37" s="2"/>
      <c r="AN37" s="2"/>
      <c r="AO37" s="2"/>
      <c r="AP37" s="2"/>
      <c r="AQ37" s="2"/>
      <c r="AR37" s="2"/>
      <c r="AS37" s="2"/>
      <c r="AT37" s="2"/>
      <c r="AU37" s="2"/>
    </row>
    <row r="38" spans="1:47" ht="12.75" customHeight="1" x14ac:dyDescent="0.2">
      <c r="A38" s="592" t="s">
        <v>112</v>
      </c>
      <c r="B38" s="559"/>
      <c r="C38" s="559" t="s">
        <v>113</v>
      </c>
      <c r="D38" s="559"/>
      <c r="E38" s="559" t="s">
        <v>70</v>
      </c>
      <c r="F38" s="559"/>
      <c r="G38" s="562" t="s">
        <v>114</v>
      </c>
      <c r="H38" s="562"/>
      <c r="I38" s="562"/>
      <c r="J38" s="562"/>
      <c r="K38" s="562"/>
      <c r="L38" s="562"/>
      <c r="M38" s="562"/>
      <c r="N38" s="559" t="s">
        <v>115</v>
      </c>
      <c r="O38" s="559" t="s">
        <v>116</v>
      </c>
      <c r="P38" s="559" t="s">
        <v>117</v>
      </c>
      <c r="Q38" s="559" t="s">
        <v>118</v>
      </c>
      <c r="R38" s="559" t="s">
        <v>119</v>
      </c>
      <c r="S38" s="559" t="s">
        <v>139</v>
      </c>
      <c r="T38" s="554" t="s">
        <v>190</v>
      </c>
      <c r="U38" s="554" t="s">
        <v>195</v>
      </c>
      <c r="V38" s="720" t="s">
        <v>193</v>
      </c>
      <c r="W38" s="720" t="s">
        <v>106</v>
      </c>
      <c r="X38" s="548" t="s">
        <v>2</v>
      </c>
      <c r="Y38" s="730"/>
      <c r="Z38" s="730"/>
      <c r="AA38" s="730"/>
      <c r="AB38" s="730"/>
      <c r="AC38" s="730"/>
      <c r="AD38" s="730"/>
      <c r="AE38" s="731"/>
      <c r="AF38" s="1"/>
      <c r="AG38" s="1"/>
      <c r="AH38" s="1"/>
      <c r="AI38" s="1"/>
      <c r="AJ38" s="1"/>
      <c r="AK38" s="1"/>
    </row>
    <row r="39" spans="1:47" ht="55.5" customHeight="1" x14ac:dyDescent="0.2">
      <c r="A39" s="593"/>
      <c r="B39" s="560"/>
      <c r="C39" s="560"/>
      <c r="D39" s="560"/>
      <c r="E39" s="560"/>
      <c r="F39" s="560"/>
      <c r="G39" s="563"/>
      <c r="H39" s="563"/>
      <c r="I39" s="563"/>
      <c r="J39" s="563"/>
      <c r="K39" s="563"/>
      <c r="L39" s="563"/>
      <c r="M39" s="563"/>
      <c r="N39" s="560"/>
      <c r="O39" s="560"/>
      <c r="P39" s="560"/>
      <c r="Q39" s="560"/>
      <c r="R39" s="560"/>
      <c r="S39" s="560"/>
      <c r="T39" s="555"/>
      <c r="U39" s="786"/>
      <c r="V39" s="721"/>
      <c r="W39" s="740"/>
      <c r="X39" s="549"/>
      <c r="Y39" s="732"/>
      <c r="Z39" s="732"/>
      <c r="AA39" s="732"/>
      <c r="AB39" s="732"/>
      <c r="AC39" s="732"/>
      <c r="AD39" s="732"/>
      <c r="AE39" s="733"/>
      <c r="AF39" s="1"/>
      <c r="AG39" s="1"/>
      <c r="AH39" s="1"/>
      <c r="AI39" s="1"/>
      <c r="AJ39" s="1"/>
      <c r="AK39" s="1"/>
    </row>
    <row r="40" spans="1:47" ht="75" customHeight="1" thickBot="1" x14ac:dyDescent="0.25">
      <c r="A40" s="594"/>
      <c r="B40" s="561"/>
      <c r="C40" s="561"/>
      <c r="D40" s="561"/>
      <c r="E40" s="561"/>
      <c r="F40" s="561"/>
      <c r="G40" s="564"/>
      <c r="H40" s="564"/>
      <c r="I40" s="564"/>
      <c r="J40" s="564"/>
      <c r="K40" s="564"/>
      <c r="L40" s="564"/>
      <c r="M40" s="564"/>
      <c r="N40" s="561"/>
      <c r="O40" s="561"/>
      <c r="P40" s="561"/>
      <c r="Q40" s="561"/>
      <c r="R40" s="561"/>
      <c r="S40" s="561"/>
      <c r="T40" s="162" t="s">
        <v>219</v>
      </c>
      <c r="U40" s="787"/>
      <c r="V40" s="278" t="s">
        <v>215</v>
      </c>
      <c r="W40" s="783"/>
      <c r="X40" s="550"/>
      <c r="Y40" s="784"/>
      <c r="Z40" s="784"/>
      <c r="AA40" s="784"/>
      <c r="AB40" s="784"/>
      <c r="AC40" s="784"/>
      <c r="AD40" s="784"/>
      <c r="AE40" s="785"/>
      <c r="AF40" s="1"/>
      <c r="AG40" s="1"/>
      <c r="AH40" s="1"/>
      <c r="AI40" s="1"/>
      <c r="AJ40" s="1"/>
      <c r="AK40" s="1"/>
    </row>
    <row r="41" spans="1:47" ht="57.75" customHeight="1" thickBot="1" x14ac:dyDescent="0.25">
      <c r="A41" s="588" t="s">
        <v>283</v>
      </c>
      <c r="B41" s="589"/>
      <c r="C41" s="788" t="str">
        <f>IFERROR(INDEX($E$7:$E$9,MATCH(A41,$B$7:$B$9,0)),"N.A.")</f>
        <v>NO LIDER</v>
      </c>
      <c r="D41" s="788"/>
      <c r="E41" s="760">
        <v>1</v>
      </c>
      <c r="F41" s="761"/>
      <c r="G41" s="744" t="s">
        <v>226</v>
      </c>
      <c r="H41" s="744"/>
      <c r="I41" s="744"/>
      <c r="J41" s="744"/>
      <c r="K41" s="744"/>
      <c r="L41" s="744"/>
      <c r="M41" s="744"/>
      <c r="N41" s="182" t="s">
        <v>227</v>
      </c>
      <c r="O41" s="183">
        <v>0.5</v>
      </c>
      <c r="P41" s="200">
        <v>38772</v>
      </c>
      <c r="Q41" s="200">
        <v>40656</v>
      </c>
      <c r="R41" s="294">
        <f>+(2886785280/381500)+(115909520/408000)+(305088445/496900)+(1344546519/515000)+(141503092/535600)</f>
        <v>11339.974848133003</v>
      </c>
      <c r="S41" s="163">
        <v>168</v>
      </c>
      <c r="T41" s="414" t="str">
        <f>IF((R41)&gt;='Calificación Técnica'!$E$24,"CUMPLE","NO CUMPLE")</f>
        <v>CUMPLE</v>
      </c>
      <c r="U41" s="234" t="s">
        <v>76</v>
      </c>
      <c r="V41" s="768" t="str">
        <f>IF(($S$45)&gt;='Calificación Técnica'!C26,"CUMPLE","NO CUMPLE")</f>
        <v>CUMPLE</v>
      </c>
      <c r="W41" s="353" t="s">
        <v>325</v>
      </c>
      <c r="X41" s="780"/>
      <c r="Y41" s="781"/>
      <c r="Z41" s="781"/>
      <c r="AA41" s="781"/>
      <c r="AB41" s="781"/>
      <c r="AC41" s="781"/>
      <c r="AD41" s="781"/>
      <c r="AE41" s="782"/>
      <c r="AF41" s="1"/>
      <c r="AG41" s="1"/>
      <c r="AH41" s="1"/>
      <c r="AI41" s="1"/>
      <c r="AJ41" s="1"/>
      <c r="AK41" s="1"/>
    </row>
    <row r="42" spans="1:47" ht="51" customHeight="1" thickBot="1" x14ac:dyDescent="0.25">
      <c r="A42" s="746" t="s">
        <v>156</v>
      </c>
      <c r="B42" s="747"/>
      <c r="C42" s="743" t="str">
        <f>IFERROR(INDEX($E$7:$E$8,MATCH(A42,$B$7:$B$8,0)),"N.A.")</f>
        <v>LIDER</v>
      </c>
      <c r="D42" s="743"/>
      <c r="E42" s="743">
        <v>2</v>
      </c>
      <c r="F42" s="743"/>
      <c r="G42" s="744" t="s">
        <v>231</v>
      </c>
      <c r="H42" s="744"/>
      <c r="I42" s="744"/>
      <c r="J42" s="744"/>
      <c r="K42" s="744"/>
      <c r="L42" s="744"/>
      <c r="M42" s="744"/>
      <c r="N42" s="203" t="s">
        <v>229</v>
      </c>
      <c r="O42" s="183">
        <v>1</v>
      </c>
      <c r="P42" s="184">
        <v>34682</v>
      </c>
      <c r="Q42" s="184">
        <v>36311</v>
      </c>
      <c r="R42" s="163">
        <f>+(83130600/132.27)*824.68/98700</f>
        <v>5251.3125923924135</v>
      </c>
      <c r="S42" s="163">
        <f>8.2+24.6</f>
        <v>32.799999999999997</v>
      </c>
      <c r="T42" s="415" t="str">
        <f>IF((R42)&gt;='Calificación Técnica'!$E$24,"CUMPLE","NO CUMPLE")</f>
        <v>CUMPLE</v>
      </c>
      <c r="U42" s="235" t="s">
        <v>76</v>
      </c>
      <c r="V42" s="768"/>
      <c r="W42" s="353" t="s">
        <v>326</v>
      </c>
      <c r="X42" s="780"/>
      <c r="Y42" s="781"/>
      <c r="Z42" s="781"/>
      <c r="AA42" s="781"/>
      <c r="AB42" s="781"/>
      <c r="AC42" s="781"/>
      <c r="AD42" s="781"/>
      <c r="AE42" s="782"/>
      <c r="AF42" s="1"/>
      <c r="AG42" s="1"/>
      <c r="AH42" s="1"/>
      <c r="AI42" s="1"/>
      <c r="AJ42" s="1"/>
      <c r="AK42" s="1"/>
    </row>
    <row r="43" spans="1:47" ht="51" customHeight="1" thickBot="1" x14ac:dyDescent="0.25">
      <c r="A43" s="588" t="s">
        <v>156</v>
      </c>
      <c r="B43" s="589"/>
      <c r="C43" s="745" t="str">
        <f>IFERROR(INDEX($E$7:$E$8,MATCH(A43,$B$7:$B$8,0)),"N.A.")</f>
        <v>LIDER</v>
      </c>
      <c r="D43" s="745"/>
      <c r="E43" s="745">
        <v>3</v>
      </c>
      <c r="F43" s="745"/>
      <c r="G43" s="744" t="s">
        <v>232</v>
      </c>
      <c r="H43" s="744"/>
      <c r="I43" s="744"/>
      <c r="J43" s="744"/>
      <c r="K43" s="744"/>
      <c r="L43" s="744"/>
      <c r="M43" s="744"/>
      <c r="N43" s="203" t="s">
        <v>229</v>
      </c>
      <c r="O43" s="183">
        <v>1</v>
      </c>
      <c r="P43" s="185">
        <v>36354</v>
      </c>
      <c r="Q43" s="185">
        <v>38530</v>
      </c>
      <c r="R43" s="163">
        <f>+(779160.5*1.0183*1887.17)/236438</f>
        <v>6332.809417502117</v>
      </c>
      <c r="S43" s="163">
        <f>14.3+9.4</f>
        <v>23.700000000000003</v>
      </c>
      <c r="T43" s="415" t="str">
        <f>IF((R43)&gt;='Calificación Técnica'!$E$24,"CUMPLE","NO CUMPLE")</f>
        <v>CUMPLE</v>
      </c>
      <c r="U43" s="235" t="s">
        <v>76</v>
      </c>
      <c r="V43" s="768"/>
      <c r="W43" s="353" t="s">
        <v>327</v>
      </c>
      <c r="X43" s="780"/>
      <c r="Y43" s="781"/>
      <c r="Z43" s="781"/>
      <c r="AA43" s="781"/>
      <c r="AB43" s="781"/>
      <c r="AC43" s="781"/>
      <c r="AD43" s="781"/>
      <c r="AE43" s="782"/>
      <c r="AF43" s="1"/>
      <c r="AG43" s="1"/>
      <c r="AH43" s="1"/>
      <c r="AI43" s="1"/>
      <c r="AJ43" s="1"/>
      <c r="AK43" s="1"/>
    </row>
    <row r="44" spans="1:47" s="259" customFormat="1" ht="69.75" customHeight="1" thickBot="1" x14ac:dyDescent="0.25">
      <c r="A44" s="606" t="s">
        <v>156</v>
      </c>
      <c r="B44" s="607"/>
      <c r="C44" s="771" t="str">
        <f>IFERROR(INDEX($E$7:$E$8,MATCH(A44,$B$7:$B$8,0)),"N.A.")</f>
        <v>LIDER</v>
      </c>
      <c r="D44" s="771"/>
      <c r="E44" s="771">
        <v>4</v>
      </c>
      <c r="F44" s="771"/>
      <c r="G44" s="772" t="s">
        <v>405</v>
      </c>
      <c r="H44" s="772"/>
      <c r="I44" s="772"/>
      <c r="J44" s="772"/>
      <c r="K44" s="772"/>
      <c r="L44" s="772"/>
      <c r="M44" s="772"/>
      <c r="N44" s="204" t="s">
        <v>230</v>
      </c>
      <c r="O44" s="205">
        <v>0.5</v>
      </c>
      <c r="P44" s="187">
        <v>38895</v>
      </c>
      <c r="Q44" s="187">
        <v>40055</v>
      </c>
      <c r="R44" s="188">
        <f>((1240960.23*1.2567*2607.13)/408000)+((247906.63*1.5611*1792.24)/461500)</f>
        <v>11468.283114332575</v>
      </c>
      <c r="S44" s="188">
        <v>12.7</v>
      </c>
      <c r="T44" s="388" t="str">
        <f>IF((R44)&gt;='Calificación Técnica'!$E$24,"CUMPLE","NO CUMPLE")</f>
        <v>CUMPLE</v>
      </c>
      <c r="U44" s="385" t="s">
        <v>76</v>
      </c>
      <c r="V44" s="769"/>
      <c r="W44" s="389" t="s">
        <v>328</v>
      </c>
      <c r="X44" s="780"/>
      <c r="Y44" s="781"/>
      <c r="Z44" s="781"/>
      <c r="AA44" s="781"/>
      <c r="AB44" s="781"/>
      <c r="AC44" s="781"/>
      <c r="AD44" s="781"/>
      <c r="AE44" s="782"/>
    </row>
    <row r="45" spans="1:47" ht="13.5" thickBot="1" x14ac:dyDescent="0.25">
      <c r="S45" s="175">
        <f>SUM(S41:S44)</f>
        <v>237.2</v>
      </c>
      <c r="T45" s="174" t="s">
        <v>76</v>
      </c>
      <c r="U45" s="2"/>
      <c r="V45" s="2"/>
      <c r="W45" s="2"/>
      <c r="X45" s="2"/>
      <c r="Y45" s="2"/>
      <c r="AF45" s="1"/>
      <c r="AG45" s="1"/>
      <c r="AH45" s="1"/>
      <c r="AI45" s="1"/>
      <c r="AJ45" s="1"/>
      <c r="AK45" s="1"/>
    </row>
    <row r="47" spans="1:47" ht="13.5" thickBot="1" x14ac:dyDescent="0.25">
      <c r="R47" s="329"/>
    </row>
  </sheetData>
  <sheetProtection formatColumns="0" formatRows="0"/>
  <mergeCells count="137">
    <mergeCell ref="C33:D33"/>
    <mergeCell ref="A33:B33"/>
    <mergeCell ref="G33:K33"/>
    <mergeCell ref="U30:AA30"/>
    <mergeCell ref="E29:F29"/>
    <mergeCell ref="E33:F33"/>
    <mergeCell ref="E30:F30"/>
    <mergeCell ref="E31:F31"/>
    <mergeCell ref="G31:K31"/>
    <mergeCell ref="U31:AA31"/>
    <mergeCell ref="U32:AA32"/>
    <mergeCell ref="A30:B30"/>
    <mergeCell ref="C30:D30"/>
    <mergeCell ref="A31:B31"/>
    <mergeCell ref="C31:D31"/>
    <mergeCell ref="C29:D29"/>
    <mergeCell ref="A32:B32"/>
    <mergeCell ref="C32:D32"/>
    <mergeCell ref="E32:F32"/>
    <mergeCell ref="A29:B29"/>
    <mergeCell ref="R22:Y22"/>
    <mergeCell ref="U29:AA29"/>
    <mergeCell ref="S30:S33"/>
    <mergeCell ref="U33:AA33"/>
    <mergeCell ref="G25:K25"/>
    <mergeCell ref="R25:Y25"/>
    <mergeCell ref="G24:K24"/>
    <mergeCell ref="R24:Y24"/>
    <mergeCell ref="P23:P25"/>
    <mergeCell ref="R23:Y23"/>
    <mergeCell ref="G22:K22"/>
    <mergeCell ref="G32:K32"/>
    <mergeCell ref="G30:K30"/>
    <mergeCell ref="G29:K29"/>
    <mergeCell ref="A25:B25"/>
    <mergeCell ref="C25:D25"/>
    <mergeCell ref="A24:B24"/>
    <mergeCell ref="C24:D24"/>
    <mergeCell ref="E24:F24"/>
    <mergeCell ref="E23:F23"/>
    <mergeCell ref="G23:K23"/>
    <mergeCell ref="E17:F17"/>
    <mergeCell ref="G17:H17"/>
    <mergeCell ref="A23:B23"/>
    <mergeCell ref="A22:B22"/>
    <mergeCell ref="L17:Q17"/>
    <mergeCell ref="C18:D18"/>
    <mergeCell ref="E18:F18"/>
    <mergeCell ref="G18:H18"/>
    <mergeCell ref="L18:Q18"/>
    <mergeCell ref="C17:D17"/>
    <mergeCell ref="E25:F25"/>
    <mergeCell ref="L19:Q19"/>
    <mergeCell ref="C22:D22"/>
    <mergeCell ref="C19:D19"/>
    <mergeCell ref="E19:F19"/>
    <mergeCell ref="G19:H19"/>
    <mergeCell ref="E22:F22"/>
    <mergeCell ref="C23:D23"/>
    <mergeCell ref="C15:D15"/>
    <mergeCell ref="E15:F15"/>
    <mergeCell ref="L15:Q15"/>
    <mergeCell ref="C16:D16"/>
    <mergeCell ref="E16:F16"/>
    <mergeCell ref="G16:H16"/>
    <mergeCell ref="L16:Q16"/>
    <mergeCell ref="G15:H15"/>
    <mergeCell ref="K13:K14"/>
    <mergeCell ref="A13:A14"/>
    <mergeCell ref="B13:B14"/>
    <mergeCell ref="P9:V9"/>
    <mergeCell ref="C7:D7"/>
    <mergeCell ref="E7:F7"/>
    <mergeCell ref="G7:H7"/>
    <mergeCell ref="I7:J7"/>
    <mergeCell ref="P7:V7"/>
    <mergeCell ref="C8:D8"/>
    <mergeCell ref="E8:F8"/>
    <mergeCell ref="C9:D9"/>
    <mergeCell ref="E9:F9"/>
    <mergeCell ref="G9:H9"/>
    <mergeCell ref="I9:J9"/>
    <mergeCell ref="C13:F14"/>
    <mergeCell ref="G13:H14"/>
    <mergeCell ref="I13:J13"/>
    <mergeCell ref="L13:Q14"/>
    <mergeCell ref="A4:A5"/>
    <mergeCell ref="B4:B5"/>
    <mergeCell ref="C4:F5"/>
    <mergeCell ref="G4:H5"/>
    <mergeCell ref="I4:N4"/>
    <mergeCell ref="O4:O5"/>
    <mergeCell ref="G8:H8"/>
    <mergeCell ref="I8:J8"/>
    <mergeCell ref="P8:V8"/>
    <mergeCell ref="P4:V5"/>
    <mergeCell ref="I5:J5"/>
    <mergeCell ref="C6:D6"/>
    <mergeCell ref="E6:F6"/>
    <mergeCell ref="G6:M6"/>
    <mergeCell ref="P6:V6"/>
    <mergeCell ref="G43:M43"/>
    <mergeCell ref="G42:M42"/>
    <mergeCell ref="G38:M40"/>
    <mergeCell ref="N38:N40"/>
    <mergeCell ref="O38:O40"/>
    <mergeCell ref="G41:M41"/>
    <mergeCell ref="A44:B44"/>
    <mergeCell ref="A42:B42"/>
    <mergeCell ref="C42:D42"/>
    <mergeCell ref="C44:D44"/>
    <mergeCell ref="E44:F44"/>
    <mergeCell ref="G44:M44"/>
    <mergeCell ref="E42:F42"/>
    <mergeCell ref="A43:B43"/>
    <mergeCell ref="C43:D43"/>
    <mergeCell ref="E43:F43"/>
    <mergeCell ref="A38:B40"/>
    <mergeCell ref="C38:D40"/>
    <mergeCell ref="E38:F40"/>
    <mergeCell ref="A41:B41"/>
    <mergeCell ref="C41:D41"/>
    <mergeCell ref="E41:F41"/>
    <mergeCell ref="X41:AE41"/>
    <mergeCell ref="X42:AE42"/>
    <mergeCell ref="X43:AE43"/>
    <mergeCell ref="X44:AE44"/>
    <mergeCell ref="W38:W40"/>
    <mergeCell ref="P38:P40"/>
    <mergeCell ref="S38:S40"/>
    <mergeCell ref="Q38:Q40"/>
    <mergeCell ref="R38:R40"/>
    <mergeCell ref="X38:AE40"/>
    <mergeCell ref="V38:V39"/>
    <mergeCell ref="V41:V44"/>
    <mergeCell ref="U38:U40"/>
    <mergeCell ref="T38:T39"/>
  </mergeCells>
  <conditionalFormatting sqref="T41:T44 J15 P23:P25 S30:S31 N6">
    <cfRule type="cellIs" dxfId="23" priority="37" stopIfTrue="1" operator="equal">
      <formula>"NO HABIL"</formula>
    </cfRule>
  </conditionalFormatting>
  <dataValidations count="4">
    <dataValidation type="list" allowBlank="1" showInputMessage="1" showErrorMessage="1" sqref="A42:B42">
      <formula1>$B$7:$B$8</formula1>
    </dataValidation>
    <dataValidation type="list" allowBlank="1" showInputMessage="1" showErrorMessage="1" sqref="A23:B25 B30:B32 A30:A33 A43:B44 A41:B41">
      <formula1>$B$7:$B$9</formula1>
    </dataValidation>
    <dataValidation type="list" allowBlank="1" showInputMessage="1" showErrorMessage="1" sqref="G7:H9">
      <formula1>$AM$7:$AM$8</formula1>
    </dataValidation>
    <dataValidation type="list" allowBlank="1" showInputMessage="1" showErrorMessage="1" sqref="K7:L9">
      <formula1>$AN$7:$AN$8</formula1>
    </dataValidation>
  </dataValidations>
  <printOptions horizontalCentered="1" verticalCentered="1"/>
  <pageMargins left="0.23622047244094491" right="0.23622047244094491" top="0.78740157480314965" bottom="0.35433070866141736" header="0.51181102362204722" footer="0.51181102362204722"/>
  <pageSetup paperSize="5" scale="41" orientation="landscape" r:id="rId1"/>
  <headerFooter alignWithMargins="0"/>
  <rowBreaks count="1" manualBreakCount="1">
    <brk id="26"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
  <sheetViews>
    <sheetView topLeftCell="A4" workbookViewId="0">
      <selection activeCell="C8" sqref="C8"/>
    </sheetView>
  </sheetViews>
  <sheetFormatPr baseColWidth="10" defaultRowHeight="12.75" x14ac:dyDescent="0.2"/>
  <cols>
    <col min="2" max="2" width="14.7109375" customWidth="1"/>
    <col min="3" max="3" width="13.7109375" customWidth="1"/>
    <col min="4" max="4" width="18" customWidth="1"/>
    <col min="5" max="5" width="20.5703125" customWidth="1"/>
  </cols>
  <sheetData>
    <row r="2" spans="1:4" ht="13.5" thickBot="1" x14ac:dyDescent="0.25"/>
    <row r="3" spans="1:4" x14ac:dyDescent="0.2">
      <c r="A3" s="215" t="s">
        <v>140</v>
      </c>
      <c r="B3" s="216"/>
      <c r="C3" s="216"/>
      <c r="D3" s="217"/>
    </row>
    <row r="4" spans="1:4" ht="63.75" x14ac:dyDescent="0.2">
      <c r="A4" s="161" t="s">
        <v>141</v>
      </c>
      <c r="B4" s="159" t="s">
        <v>150</v>
      </c>
      <c r="C4" s="159" t="s">
        <v>142</v>
      </c>
      <c r="D4" s="306" t="str">
        <f>'P3'!B6</f>
        <v>CONSORCIO INTERCON-APM</v>
      </c>
    </row>
    <row r="5" spans="1:4" x14ac:dyDescent="0.2">
      <c r="A5" s="727" t="s">
        <v>143</v>
      </c>
      <c r="B5" s="728">
        <v>100</v>
      </c>
      <c r="C5" s="158">
        <v>1</v>
      </c>
      <c r="D5" s="729">
        <v>900</v>
      </c>
    </row>
    <row r="6" spans="1:4" x14ac:dyDescent="0.2">
      <c r="A6" s="727"/>
      <c r="B6" s="728"/>
      <c r="C6" s="158">
        <v>2</v>
      </c>
      <c r="D6" s="729"/>
    </row>
    <row r="7" spans="1:4" x14ac:dyDescent="0.2">
      <c r="A7" s="727"/>
      <c r="B7" s="728"/>
      <c r="C7" s="158">
        <v>3</v>
      </c>
      <c r="D7" s="729"/>
    </row>
    <row r="8" spans="1:4" x14ac:dyDescent="0.2">
      <c r="A8" s="727"/>
      <c r="B8" s="728"/>
      <c r="C8" s="416">
        <v>4</v>
      </c>
      <c r="D8" s="729"/>
    </row>
    <row r="9" spans="1:4" ht="13.5" thickBot="1" x14ac:dyDescent="0.25">
      <c r="A9" s="725" t="s">
        <v>144</v>
      </c>
      <c r="B9" s="726"/>
      <c r="C9" s="726"/>
      <c r="D9" s="307">
        <f>+D5+B5</f>
        <v>1000</v>
      </c>
    </row>
  </sheetData>
  <mergeCells count="4">
    <mergeCell ref="A5:A8"/>
    <mergeCell ref="B5:B8"/>
    <mergeCell ref="D5:D8"/>
    <mergeCell ref="A9:C9"/>
  </mergeCells>
  <printOptions horizontalCentered="1" verticalCentered="1"/>
  <pageMargins left="0.23622047244094491" right="0.23622047244094491" top="0.78740157480314965" bottom="0.35433070866141736" header="0.51181102362204722" footer="0.51181102362204722"/>
  <pageSetup paperSize="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47</vt:i4>
      </vt:variant>
    </vt:vector>
  </HeadingPairs>
  <TitlesOfParts>
    <vt:vector size="69" baseType="lpstr">
      <vt:lpstr>INTRO</vt:lpstr>
      <vt:lpstr>PROPONENTES</vt:lpstr>
      <vt:lpstr>Calificación Técnica</vt:lpstr>
      <vt:lpstr>P1</vt:lpstr>
      <vt:lpstr>P1 PUNTAJE</vt:lpstr>
      <vt:lpstr>P2</vt:lpstr>
      <vt:lpstr>P2 puntaje</vt:lpstr>
      <vt:lpstr>P3</vt:lpstr>
      <vt:lpstr>P3 PUNTAJE </vt:lpstr>
      <vt:lpstr>P4</vt:lpstr>
      <vt:lpstr>P4 PUNTAJE</vt:lpstr>
      <vt:lpstr>P5</vt:lpstr>
      <vt:lpstr>P5 PUNTAJE</vt:lpstr>
      <vt:lpstr>P6</vt:lpstr>
      <vt:lpstr>P6 PUNTAJE</vt:lpstr>
      <vt:lpstr>P7</vt:lpstr>
      <vt:lpstr>P7 PUNTAJE</vt:lpstr>
      <vt:lpstr>P8</vt:lpstr>
      <vt:lpstr>P8 PUNTAJE </vt:lpstr>
      <vt:lpstr>RESUMEN</vt:lpstr>
      <vt:lpstr>Hoja1</vt:lpstr>
      <vt:lpstr>Hoja2</vt:lpstr>
      <vt:lpstr>acarg1</vt:lpstr>
      <vt:lpstr>acarg2</vt:lpstr>
      <vt:lpstr>area</vt:lpstr>
      <vt:lpstr>'Calificación Técnica'!Área_de_impresión</vt:lpstr>
      <vt:lpstr>INTRO!Área_de_impresión</vt:lpstr>
      <vt:lpstr>'P1'!Área_de_impresión</vt:lpstr>
      <vt:lpstr>'P2'!Área_de_impresión</vt:lpstr>
      <vt:lpstr>'P3'!Área_de_impresión</vt:lpstr>
      <vt:lpstr>'P4'!Área_de_impresión</vt:lpstr>
      <vt:lpstr>'P5'!Área_de_impresión</vt:lpstr>
      <vt:lpstr>'P6'!Área_de_impresión</vt:lpstr>
      <vt:lpstr>'P7'!Área_de_impresión</vt:lpstr>
      <vt:lpstr>'P8'!Área_de_impresión</vt:lpstr>
      <vt:lpstr>bcarg1</vt:lpstr>
      <vt:lpstr>bcarg2</vt:lpstr>
      <vt:lpstr>CARGO_4</vt:lpstr>
      <vt:lpstr>INTRO!CARGO1</vt:lpstr>
      <vt:lpstr>INTRO!CARGO2</vt:lpstr>
      <vt:lpstr>INTRO!CARGO3</vt:lpstr>
      <vt:lpstr>CARGO4</vt:lpstr>
      <vt:lpstr>CARGO5</vt:lpstr>
      <vt:lpstr>CARGO6</vt:lpstr>
      <vt:lpstr>ccarg1</vt:lpstr>
      <vt:lpstr>ccarg2</vt:lpstr>
      <vt:lpstr>dcarg1</vt:lpstr>
      <vt:lpstr>dcarg2</vt:lpstr>
      <vt:lpstr>DIRECTOR</vt:lpstr>
      <vt:lpstr>ESPECIALISTA_AMBIENTAL</vt:lpstr>
      <vt:lpstr>ESPECIALISTA_EN_PAVIMENTOS</vt:lpstr>
      <vt:lpstr>INTRO!exespcargo1</vt:lpstr>
      <vt:lpstr>exespcargo2</vt:lpstr>
      <vt:lpstr>INTRO!exespcargo3</vt:lpstr>
      <vt:lpstr>exespcargo4</vt:lpstr>
      <vt:lpstr>INTRO!exgencargo1</vt:lpstr>
      <vt:lpstr>exgencargo2</vt:lpstr>
      <vt:lpstr>INTRO!exgencargo3</vt:lpstr>
      <vt:lpstr>exgencargo4</vt:lpstr>
      <vt:lpstr>exgencargo5</vt:lpstr>
      <vt:lpstr>exgencargo6</vt:lpstr>
      <vt:lpstr>INTRO!fcierrecal</vt:lpstr>
      <vt:lpstr>fcierrepre</vt:lpstr>
      <vt:lpstr>modulo</vt:lpstr>
      <vt:lpstr>numproceso</vt:lpstr>
      <vt:lpstr>objproceso</vt:lpstr>
      <vt:lpstr>oevalexpesp</vt:lpstr>
      <vt:lpstr>oevalexpgen</vt:lpstr>
      <vt:lpstr>RESIDENTE</vt:lpstr>
    </vt:vector>
  </TitlesOfParts>
  <Company>GOBERNACION DE CUNDINAMARCA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mdelgadillo</dc:creator>
  <cp:lastModifiedBy>Juan Carlos Avendaño Ariza</cp:lastModifiedBy>
  <cp:lastPrinted>2014-02-06T20:50:05Z</cp:lastPrinted>
  <dcterms:created xsi:type="dcterms:W3CDTF">2009-11-24T19:23:08Z</dcterms:created>
  <dcterms:modified xsi:type="dcterms:W3CDTF">2014-02-07T01:49:13Z</dcterms:modified>
</cp:coreProperties>
</file>