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80" windowWidth="20520" windowHeight="11580" tabRatio="901" firstSheet="12" activeTab="19"/>
  </bookViews>
  <sheets>
    <sheet name="Exp. Gen (1)" sheetId="1" r:id="rId1"/>
    <sheet name="Exp. Gen (2)" sheetId="60" r:id="rId2"/>
    <sheet name="Exp. Gen (3)" sheetId="63" r:id="rId3"/>
    <sheet name="Exp. Gen (4)" sheetId="62" r:id="rId4"/>
    <sheet name="Exp. Gen (5)" sheetId="65" r:id="rId5"/>
    <sheet name="Exp. Gen (6)" sheetId="64" r:id="rId6"/>
    <sheet name="Exp. Gen (7)" sheetId="66" r:id="rId7"/>
    <sheet name="Exp. Gen (8)" sheetId="67" r:id="rId8"/>
    <sheet name="Exp. Gen (9)" sheetId="68" r:id="rId9"/>
    <sheet name="Resumen Exp. Gen" sheetId="28" r:id="rId10"/>
    <sheet name="Exp. Especif(1)" sheetId="14" r:id="rId11"/>
    <sheet name="Exp. Especif(2)" sheetId="69" r:id="rId12"/>
    <sheet name="Exp. Especif(3)" sheetId="70" r:id="rId13"/>
    <sheet name="Exp. Especif(4)" sheetId="71" r:id="rId14"/>
    <sheet name="Exp. Especif(5)" sheetId="72" r:id="rId15"/>
    <sheet name="Exp. Especif(6)" sheetId="73" r:id="rId16"/>
    <sheet name="Exp. Especif(7)" sheetId="74" r:id="rId17"/>
    <sheet name="Exp. Especif(8)" sheetId="75" r:id="rId18"/>
    <sheet name="Exp. Especif(9)" sheetId="76" r:id="rId19"/>
    <sheet name="Resumen Exp. Especifica" sheetId="31" r:id="rId20"/>
    <sheet name="CONSOLIDADO" sheetId="38" r:id="rId21"/>
  </sheets>
  <definedNames>
    <definedName name="_xlnm.Print_Area" localSheetId="20">CONSOLIDADO!$A$1:$I$27</definedName>
    <definedName name="_xlnm.Print_Area" localSheetId="10">'Exp. Especif(1)'!$A$1:$S$31</definedName>
    <definedName name="_xlnm.Print_Area" localSheetId="11">'Exp. Especif(2)'!$A$1:$S$31</definedName>
    <definedName name="_xlnm.Print_Area" localSheetId="12">'Exp. Especif(3)'!$A$1:$S$31</definedName>
    <definedName name="_xlnm.Print_Area" localSheetId="13">'Exp. Especif(4)'!$A$1:$S$31</definedName>
    <definedName name="_xlnm.Print_Area" localSheetId="14">'Exp. Especif(5)'!$A$1:$S$31</definedName>
    <definedName name="_xlnm.Print_Area" localSheetId="15">'Exp. Especif(6)'!$A$1:$S$31</definedName>
    <definedName name="_xlnm.Print_Area" localSheetId="16">'Exp. Especif(7)'!$A$1:$S$31</definedName>
    <definedName name="_xlnm.Print_Area" localSheetId="17">'Exp. Especif(8)'!$A$1:$S$31</definedName>
    <definedName name="_xlnm.Print_Area" localSheetId="18">'Exp. Especif(9)'!$A$1:$S$31</definedName>
    <definedName name="_xlnm.Print_Area" localSheetId="0">'Exp. Gen (1)'!$A$1:$S$27</definedName>
    <definedName name="_xlnm.Print_Area" localSheetId="1">'Exp. Gen (2)'!$A$1:$S$27</definedName>
    <definedName name="_xlnm.Print_Area" localSheetId="2">'Exp. Gen (3)'!$A$1:$S$27</definedName>
    <definedName name="_xlnm.Print_Area" localSheetId="3">'Exp. Gen (4)'!$A$1:$S$27</definedName>
    <definedName name="_xlnm.Print_Area" localSheetId="4">'Exp. Gen (5)'!$A$1:$S$27</definedName>
    <definedName name="_xlnm.Print_Area" localSheetId="5">'Exp. Gen (6)'!$A$1:$S$27</definedName>
    <definedName name="_xlnm.Print_Area" localSheetId="6">'Exp. Gen (7)'!$A$1:$S$27</definedName>
    <definedName name="_xlnm.Print_Area" localSheetId="7">'Exp. Gen (8)'!$A$1:$S$27</definedName>
    <definedName name="_xlnm.Print_Area" localSheetId="8">'Exp. Gen (9)'!$A$1:$S$27</definedName>
    <definedName name="_xlnm.Print_Area" localSheetId="19">'Resumen Exp. Especifica'!$A$1:$J$29</definedName>
    <definedName name="_xlnm.Print_Area" localSheetId="9">'Resumen Exp. Gen'!$A$1:$I$32</definedName>
  </definedNames>
  <calcPr calcId="145621"/>
</workbook>
</file>

<file path=xl/calcChain.xml><?xml version="1.0" encoding="utf-8"?>
<calcChain xmlns="http://schemas.openxmlformats.org/spreadsheetml/2006/main">
  <c r="M12" i="72" l="1"/>
  <c r="M15" i="70" l="1"/>
  <c r="D8" i="76" l="1"/>
  <c r="F15" i="76" l="1"/>
  <c r="E14" i="76"/>
  <c r="F14" i="76" s="1"/>
  <c r="H14" i="76" s="1"/>
  <c r="E13" i="76"/>
  <c r="F13" i="76" s="1"/>
  <c r="H13" i="76" s="1"/>
  <c r="E12" i="76"/>
  <c r="F12" i="76" s="1"/>
  <c r="H12" i="76" s="1"/>
  <c r="M15" i="76"/>
  <c r="H15" i="76"/>
  <c r="M14" i="76"/>
  <c r="M13" i="76"/>
  <c r="M12" i="76"/>
  <c r="B4" i="76"/>
  <c r="B3" i="76"/>
  <c r="D8" i="75"/>
  <c r="F17" i="75"/>
  <c r="H17" i="75" s="1"/>
  <c r="F16" i="75"/>
  <c r="H16" i="75" s="1"/>
  <c r="F15" i="75"/>
  <c r="H15" i="75" s="1"/>
  <c r="F14" i="75"/>
  <c r="H14" i="75" s="1"/>
  <c r="F13" i="75"/>
  <c r="H13" i="75" s="1"/>
  <c r="F12" i="75"/>
  <c r="H12" i="75" s="1"/>
  <c r="M17" i="75"/>
  <c r="M16" i="75"/>
  <c r="M15" i="75"/>
  <c r="M14" i="75"/>
  <c r="M13" i="75"/>
  <c r="M12" i="75"/>
  <c r="B4" i="75"/>
  <c r="B3" i="75"/>
  <c r="D8" i="74"/>
  <c r="F15" i="74"/>
  <c r="F14" i="74"/>
  <c r="F13" i="74"/>
  <c r="F12" i="74"/>
  <c r="M15" i="74"/>
  <c r="H15" i="74"/>
  <c r="M14" i="74"/>
  <c r="H14" i="74"/>
  <c r="M13" i="74"/>
  <c r="H13" i="74"/>
  <c r="M12" i="74"/>
  <c r="H12" i="74"/>
  <c r="B4" i="74"/>
  <c r="B3" i="74"/>
  <c r="D8" i="73"/>
  <c r="F15" i="73"/>
  <c r="H15" i="73" s="1"/>
  <c r="F14" i="73"/>
  <c r="H14" i="73" s="1"/>
  <c r="F13" i="73"/>
  <c r="H13" i="73" s="1"/>
  <c r="N13" i="73" s="1"/>
  <c r="F12" i="73"/>
  <c r="H12" i="73" s="1"/>
  <c r="M14" i="73"/>
  <c r="M13" i="73"/>
  <c r="M12" i="73"/>
  <c r="B4" i="73"/>
  <c r="B3" i="73"/>
  <c r="D8" i="72"/>
  <c r="E15" i="72"/>
  <c r="F15" i="72" s="1"/>
  <c r="H15" i="72" s="1"/>
  <c r="E14" i="72"/>
  <c r="F14" i="72" s="1"/>
  <c r="H14" i="72" s="1"/>
  <c r="E13" i="72"/>
  <c r="F13" i="72" s="1"/>
  <c r="H13" i="72" s="1"/>
  <c r="N12" i="72" s="1"/>
  <c r="E12" i="72"/>
  <c r="F12" i="72" s="1"/>
  <c r="H12" i="72" s="1"/>
  <c r="D8" i="71"/>
  <c r="M15" i="72"/>
  <c r="M14" i="72"/>
  <c r="M13" i="72"/>
  <c r="B4" i="72"/>
  <c r="B3" i="72"/>
  <c r="F15" i="71"/>
  <c r="H15" i="71" s="1"/>
  <c r="F14" i="71"/>
  <c r="H14" i="71" s="1"/>
  <c r="F13" i="71"/>
  <c r="H13" i="71" s="1"/>
  <c r="F12" i="71"/>
  <c r="M15" i="71"/>
  <c r="M14" i="71"/>
  <c r="M13" i="71"/>
  <c r="M12" i="71"/>
  <c r="H12" i="71"/>
  <c r="B4" i="71"/>
  <c r="B3" i="71"/>
  <c r="N12" i="76" l="1"/>
  <c r="N12" i="71"/>
  <c r="N12" i="75"/>
  <c r="N12" i="74"/>
  <c r="F15" i="70"/>
  <c r="H15" i="70" s="1"/>
  <c r="F14" i="70"/>
  <c r="H14" i="70" s="1"/>
  <c r="F13" i="70"/>
  <c r="H13" i="70" s="1"/>
  <c r="F12" i="70"/>
  <c r="H12" i="70" s="1"/>
  <c r="D8" i="70"/>
  <c r="M14" i="70"/>
  <c r="M13" i="70"/>
  <c r="M12" i="70"/>
  <c r="B4" i="70"/>
  <c r="B3" i="70"/>
  <c r="F12" i="69"/>
  <c r="H12" i="69" s="1"/>
  <c r="F15" i="69"/>
  <c r="F14" i="69"/>
  <c r="H14" i="69" s="1"/>
  <c r="F13" i="69"/>
  <c r="H13" i="69" s="1"/>
  <c r="D8" i="69"/>
  <c r="M15" i="69"/>
  <c r="M14" i="69"/>
  <c r="M13" i="69"/>
  <c r="B4" i="69"/>
  <c r="B3" i="69"/>
  <c r="M15" i="14"/>
  <c r="M14" i="14"/>
  <c r="M13" i="14"/>
  <c r="M12" i="14"/>
  <c r="F14" i="14"/>
  <c r="H14" i="14" s="1"/>
  <c r="N12" i="70" l="1"/>
  <c r="H15" i="69"/>
  <c r="N12" i="69" s="1"/>
  <c r="C19" i="28"/>
  <c r="C18" i="28"/>
  <c r="C17" i="28"/>
  <c r="C16" i="28"/>
  <c r="C15" i="28"/>
  <c r="C14" i="28"/>
  <c r="C13" i="28"/>
  <c r="N15" i="68"/>
  <c r="M15" i="68"/>
  <c r="K15" i="68"/>
  <c r="L15" i="68" s="1"/>
  <c r="N14" i="68"/>
  <c r="M14" i="68"/>
  <c r="K14" i="68"/>
  <c r="L14" i="68" s="1"/>
  <c r="N13" i="68"/>
  <c r="M13" i="68"/>
  <c r="J13" i="68"/>
  <c r="K13" i="68" s="1"/>
  <c r="L13" i="68" s="1"/>
  <c r="N12" i="68"/>
  <c r="M12" i="68"/>
  <c r="J12" i="68"/>
  <c r="K12" i="68" s="1"/>
  <c r="L12" i="68" s="1"/>
  <c r="K16" i="67"/>
  <c r="L16" i="67" s="1"/>
  <c r="M16" i="67"/>
  <c r="N16" i="67"/>
  <c r="Q12" i="68" l="1"/>
  <c r="P12" i="68"/>
  <c r="E28" i="68"/>
  <c r="E27" i="68"/>
  <c r="Q8" i="68"/>
  <c r="N15" i="67"/>
  <c r="M15" i="67"/>
  <c r="K15" i="67"/>
  <c r="L15" i="67" s="1"/>
  <c r="N14" i="67"/>
  <c r="M14" i="67"/>
  <c r="K14" i="67"/>
  <c r="L14" i="67" s="1"/>
  <c r="N13" i="67"/>
  <c r="K13" i="67" s="1"/>
  <c r="L13" i="67" s="1"/>
  <c r="M13" i="67"/>
  <c r="N12" i="67"/>
  <c r="K12" i="67" s="1"/>
  <c r="L12" i="67" s="1"/>
  <c r="Q12" i="67" s="1"/>
  <c r="M12" i="67"/>
  <c r="Q12" i="66"/>
  <c r="P12" i="66"/>
  <c r="E28" i="67"/>
  <c r="E27" i="67"/>
  <c r="Q8" i="67"/>
  <c r="N13" i="66"/>
  <c r="K13" i="66" s="1"/>
  <c r="L13" i="66" s="1"/>
  <c r="M13" i="66"/>
  <c r="N12" i="66"/>
  <c r="K12" i="66" s="1"/>
  <c r="L12" i="66" s="1"/>
  <c r="M12" i="66"/>
  <c r="P12" i="64"/>
  <c r="Q12" i="64" s="1"/>
  <c r="E27" i="66"/>
  <c r="E26" i="66"/>
  <c r="Q8" i="66"/>
  <c r="N14" i="64"/>
  <c r="M14" i="64"/>
  <c r="K14" i="64"/>
  <c r="L14" i="64" s="1"/>
  <c r="N13" i="64"/>
  <c r="K13" i="64" s="1"/>
  <c r="L13" i="64" s="1"/>
  <c r="M13" i="64"/>
  <c r="N12" i="64"/>
  <c r="K12" i="64" s="1"/>
  <c r="L12" i="64" s="1"/>
  <c r="M12" i="64"/>
  <c r="E27" i="65"/>
  <c r="E26" i="65"/>
  <c r="N13" i="65"/>
  <c r="K13" i="65" s="1"/>
  <c r="L13" i="65" s="1"/>
  <c r="M13" i="65"/>
  <c r="N12" i="65"/>
  <c r="K12" i="65" s="1"/>
  <c r="M12" i="65"/>
  <c r="Q8" i="65"/>
  <c r="E27" i="64"/>
  <c r="E26" i="64"/>
  <c r="Q8" i="64"/>
  <c r="N13" i="62"/>
  <c r="K13" i="62" s="1"/>
  <c r="L13" i="62" s="1"/>
  <c r="M13" i="62"/>
  <c r="N12" i="62"/>
  <c r="K12" i="62" s="1"/>
  <c r="M12" i="62"/>
  <c r="E27" i="63"/>
  <c r="E26" i="63"/>
  <c r="N13" i="63"/>
  <c r="K13" i="63" s="1"/>
  <c r="L13" i="63" s="1"/>
  <c r="M13" i="63"/>
  <c r="N12" i="63"/>
  <c r="K12" i="63" s="1"/>
  <c r="M12" i="63"/>
  <c r="Q8" i="63"/>
  <c r="E27" i="62"/>
  <c r="E26" i="62"/>
  <c r="Q8" i="62"/>
  <c r="C12" i="28"/>
  <c r="N13" i="60"/>
  <c r="K13" i="60" s="1"/>
  <c r="L13" i="60" s="1"/>
  <c r="M13" i="60"/>
  <c r="N12" i="60"/>
  <c r="K12" i="60" s="1"/>
  <c r="L12" i="60" s="1"/>
  <c r="Q12" i="60" s="1"/>
  <c r="M12" i="60"/>
  <c r="E27" i="60"/>
  <c r="E26" i="60"/>
  <c r="Q8" i="60"/>
  <c r="K12" i="1"/>
  <c r="Q19" i="60" l="1"/>
  <c r="L19" i="60"/>
  <c r="Q19" i="68"/>
  <c r="L19" i="68"/>
  <c r="Q20" i="67"/>
  <c r="L20" i="67"/>
  <c r="Q19" i="66"/>
  <c r="L19" i="66"/>
  <c r="L12" i="65"/>
  <c r="L19" i="65"/>
  <c r="Q19" i="64"/>
  <c r="L19" i="64"/>
  <c r="L12" i="62"/>
  <c r="Q12" i="62" s="1"/>
  <c r="L19" i="62"/>
  <c r="L12" i="63"/>
  <c r="L19" i="63"/>
  <c r="M14" i="1"/>
  <c r="M15" i="1"/>
  <c r="M12" i="1"/>
  <c r="M13" i="1"/>
  <c r="N15" i="1"/>
  <c r="K15" i="1" s="1"/>
  <c r="N13" i="1"/>
  <c r="K13" i="1" s="1"/>
  <c r="N14" i="1"/>
  <c r="K14" i="1" s="1"/>
  <c r="Q19" i="65" l="1"/>
  <c r="Q12" i="65"/>
  <c r="L19" i="1"/>
  <c r="Q19" i="63"/>
  <c r="Q12" i="63"/>
  <c r="Q19" i="62"/>
  <c r="F15" i="14" l="1"/>
  <c r="H15" i="14" s="1"/>
  <c r="F12" i="14"/>
  <c r="H12" i="14" s="1"/>
  <c r="F13" i="14"/>
  <c r="H13" i="14" s="1"/>
  <c r="N13" i="14" s="1"/>
  <c r="L15" i="1"/>
  <c r="B4" i="31"/>
  <c r="B3" i="31"/>
  <c r="B4" i="38"/>
  <c r="B3" i="38"/>
  <c r="D8" i="14"/>
  <c r="C11" i="28"/>
  <c r="Q8" i="1"/>
  <c r="B4" i="28" l="1"/>
  <c r="B3" i="28"/>
  <c r="B4" i="14"/>
  <c r="B3" i="14"/>
  <c r="L14" i="1"/>
  <c r="L13" i="1"/>
  <c r="L12" i="1"/>
  <c r="E27" i="1"/>
  <c r="E26" i="1"/>
  <c r="Q19" i="1" l="1"/>
  <c r="Q13" i="1"/>
</calcChain>
</file>

<file path=xl/comments1.xml><?xml version="1.0" encoding="utf-8"?>
<comments xmlns="http://schemas.openxmlformats.org/spreadsheetml/2006/main">
  <authors>
    <author>ANI</author>
  </authors>
  <commentList>
    <comment ref="M15" authorId="0">
      <text>
        <r>
          <rPr>
            <b/>
            <sz val="9"/>
            <color indexed="81"/>
            <rFont val="Tahoma"/>
            <family val="2"/>
          </rPr>
          <t>ANI:</t>
        </r>
        <r>
          <rPr>
            <sz val="9"/>
            <color indexed="81"/>
            <rFont val="Tahoma"/>
            <family val="2"/>
          </rPr>
          <t xml:space="preserve">
CONTRATO DE TRES MESES, SOLO QUE TUVO 7 MESES DE SUSPENSION
</t>
        </r>
      </text>
    </comment>
  </commentList>
</comments>
</file>

<file path=xl/sharedStrings.xml><?xml version="1.0" encoding="utf-8"?>
<sst xmlns="http://schemas.openxmlformats.org/spreadsheetml/2006/main" count="1256" uniqueCount="229">
  <si>
    <t>EXPERIENCIA GENERAL (1)</t>
  </si>
  <si>
    <t>Objeto y/o Alcance del contrato</t>
  </si>
  <si>
    <t>Fecha de Inicio del Contrato</t>
  </si>
  <si>
    <t>Fecha de Terminación del Contrato</t>
  </si>
  <si>
    <t>País en el que se celebró el contrato</t>
  </si>
  <si>
    <t>Entidad Contratante</t>
  </si>
  <si>
    <t>Valor del Contrato
Pesos</t>
  </si>
  <si>
    <t>Valor del contrato (SMMLV) (2)</t>
  </si>
  <si>
    <t>CUMPLE</t>
  </si>
  <si>
    <t xml:space="preserve">Nombre del Proponente: </t>
  </si>
  <si>
    <t>COLOMBIA</t>
  </si>
  <si>
    <t>FORMATO No 6</t>
  </si>
  <si>
    <t>NOTA: CON LA INFORMACION APORTADA EN LA PROPUESTA, LA ENTIDAD VERIFICÓ LA EXPERIENCIA GENERAL  Y SE ENCONTRÓ QUE EL PROPONENTE  CUMPLE</t>
  </si>
  <si>
    <t>AGENCIA NACIONAL DE INFRAESTRUCTURA</t>
  </si>
  <si>
    <t xml:space="preserve"> </t>
  </si>
  <si>
    <t>RESUMEN EVALUACIÓN EXPERIENCIA GENERAL</t>
  </si>
  <si>
    <t>PROPUESTA NÚMERO</t>
  </si>
  <si>
    <t>PROPONENTE</t>
  </si>
  <si>
    <t>EXPERIENCIA GENERAL</t>
  </si>
  <si>
    <t>OBSERVACIONES GENERALES</t>
  </si>
  <si>
    <t>CRITERIO 1</t>
  </si>
  <si>
    <t>CRITERIO 2</t>
  </si>
  <si>
    <t>HÁBIL</t>
  </si>
  <si>
    <t>Criterio 1</t>
  </si>
  <si>
    <t>Criterio 2</t>
  </si>
  <si>
    <t>CONDICION</t>
  </si>
  <si>
    <t>EXPERIENCIA ESPECÍFICA (1)</t>
  </si>
  <si>
    <t>Miembro del proponente que aporta el contrato</t>
  </si>
  <si>
    <t xml:space="preserve">Valor del contrato </t>
  </si>
  <si>
    <t>FORMATO No. 7</t>
  </si>
  <si>
    <t>CONDICION EXPERIENCIA ESPECIFICA :</t>
  </si>
  <si>
    <t>RESUMEN EVALUACIÓN EXPERIENCIA ESPECIFICA</t>
  </si>
  <si>
    <t>EXPERIENCIA ESPECIFICA</t>
  </si>
  <si>
    <t>Valor Total de Contratos Aportados</t>
  </si>
  <si>
    <t>Nombre del Proponente:</t>
  </si>
  <si>
    <t>EXPERIENCIA ACREDITADA POR EL PROPONENTE</t>
  </si>
  <si>
    <t xml:space="preserve">PRESUPUESTO OFICIAL </t>
  </si>
  <si>
    <t>SMMLV</t>
  </si>
  <si>
    <t>OBSERVACIONES</t>
  </si>
  <si>
    <t xml:space="preserve">CONSOLIDADO EXPERIENCIA </t>
  </si>
  <si>
    <t>EVALUACION TECNICA</t>
  </si>
  <si>
    <t>ALFREDO CAMACHO SALAS</t>
  </si>
  <si>
    <t>COMITÉ EVALUADOR (COMPONENTE TÉCNICO)</t>
  </si>
  <si>
    <t>FONADE</t>
  </si>
  <si>
    <t>Valor contrato porcentual</t>
  </si>
  <si>
    <t>EGNNA DORAYNE FRANCO MÉNDEZ</t>
  </si>
  <si>
    <t>EGNNA DORAYNE DRANCO MÉNDEZ</t>
  </si>
  <si>
    <t>EGNNA DORAYNE FRANCO MENDEZ</t>
  </si>
  <si>
    <t>PUNTAJE</t>
  </si>
  <si>
    <t>CONTRATOS</t>
  </si>
  <si>
    <t>APOYO INDUSTRIA NACIONAL</t>
  </si>
  <si>
    <t>TOTAL</t>
  </si>
  <si>
    <t>PROCESO VJ-VGC-CM-008-2013</t>
  </si>
  <si>
    <t>"CONTRATAR LA CONSULTORIA ESPECIALIZADA PARA LA ELABORACIÓN DE LOS ESTUDIOS, DISEÑOS Y LA GESTIÓN PREDIAL PARA LA CONSTRUCCIÓN DE LOS PUENTES PEATONALES “CAMILO TORRES”, “DORADO” y “DUCALES”, EN EL SECTOR DE SOACHA DEL PROYECTO VIAL BOSA-GRANADA-GIRARDOT"</t>
  </si>
  <si>
    <r>
      <t xml:space="preserve">CRITERIO 2: </t>
    </r>
    <r>
      <rPr>
        <sz val="10"/>
        <rFont val="Times New Roman"/>
        <family val="1"/>
      </rPr>
      <t>EL LIDER DEBE APORTAR MINIMO EL 60% DEL VALOR SOLICITADO EN MAX 2 CTOS EN SMLV 2013 ($346.422.779) = 588 SMLV</t>
    </r>
  </si>
  <si>
    <t>SUMAR EN 2 CONTRATOS 1,5 VECES DEL PRESUPUESTO OFICIAL EN SMLV 2013  =  $577.371,297   =  979,43 SMLV 2013</t>
  </si>
  <si>
    <t>CRITERIO 2: EL LIDER DEBE APORTAR MINIMO EL 60% DEL VALOR SOLICITADO EN MAX 2 CTOS EN SMLV 2013 ($346.422.779) = 588 SMLV</t>
  </si>
  <si>
    <t xml:space="preserve">PLAZO MINIMO: Los contratos deben tener como mínimo un plazo de cuatro (4) meses </t>
  </si>
  <si>
    <t>JAM INGENIERIA Y MEDIO AMBIENTE EU</t>
  </si>
  <si>
    <t>Levantamiento topografico, estudio de suelos, ensayos de laboratorio, analisis geotecnico, diseño geometrico, de los puesten vehiculares caño nutria y quebrada rubiales y diseño de locaciones y vias de acceso. Boloque quifa y campo rubiales jurisdiccion de puerto gaitan meta</t>
  </si>
  <si>
    <t xml:space="preserve">Meta Petroleum Rubiales </t>
  </si>
  <si>
    <t>Realizar los diseños y estudios complementarios de la via circunvalar del municipio de girardota</t>
  </si>
  <si>
    <t>Area metropolitana del Valle de Aburra</t>
  </si>
  <si>
    <t>Realizar la consultoria a precio global fijo sin reajuste, consistente en los estudios y diseños para la construccion de dos (2) puestes vehiculares (pontones) sobre la quebrada limas en la localidad de ciudad bolivar en Bogota D.C.</t>
  </si>
  <si>
    <t>IDU</t>
  </si>
  <si>
    <t>Estudios a nivel de fase I de la conexión café madrid - la gomez</t>
  </si>
  <si>
    <t>INVIAS</t>
  </si>
  <si>
    <t>GRUPO POSSO S.A.S</t>
  </si>
  <si>
    <t>ESTUDIOS Y DISEÑOS DE LA AV LAUREANO GOMEZ (AK 9 ) DESDE LA AVENIDA SAN JUAN BOSCO (AC 170) HASTA LA AVENIDA SAN ANTONIO (AC 183)</t>
  </si>
  <si>
    <t>ESTUDIOS Y DISEÑOS PARA LA CONSTRUCCION DE LA SIGUIENTES OBRAS: A)INTERSECCION DE LA AV CIUDAD DE CALI (AK86) POR AV FERROCARRIL DE OCCIDENTE (AC 22) PROYECTO CODIGO DE OBRA 175 Y B) TRAMOS FALTANTES DE LA AVENIDA FERROCARRIL DE OCCIDENTE, POR LA CALZADA NORTE CORRESPONDIENTE AL TRAMO COMPRENDIDO ENTRE LA CARRERA 100 Y LA CARRERA 96i Y POR LA CALZADA SUR CORRESPONDIENTE AL TRAMO COMPRENDIDO ENTRE LA CARRERA 96C Y LA CARRERA 93 QUE HACEN PARTE CEL PROYECTO CON CODIGO DE OBRA 190 DEL ACUERDO 180 DE 2005 DE VALORIZACION EN BOGOTA D.C</t>
  </si>
  <si>
    <t>ESTUDIIOS Y DISEÑOS PARA EL REEMPLAZO DE PUENTES PARA LOS DEPARTAMENTOS DE ANTIOQUIA, CHOCO,RISARALDA, GUAJIRA Y VALLE</t>
  </si>
  <si>
    <t>GEICOL S.A.S</t>
  </si>
  <si>
    <t>METRO CALI S.A.</t>
  </si>
  <si>
    <t xml:space="preserve"> DE LOS ESTUDIOS Y DISEÑOS DEFINITIVOS DEL CORREDOR TRONCAL SUR DEL PROYECTO DEL SISTEMA INTEGRADO DE TRANSPORTE MASIVO DE PASAJEROS DE SANTIAGO DE CALI.</t>
  </si>
  <si>
    <t>ELABORACION DE ESTUDIO Y DISEÑOS DE LAS VIAS PRIORIZADAS EN EL PLAN VIAL DEPARTAMENTAL DEL META</t>
  </si>
  <si>
    <t>MINTRANSPORTE</t>
  </si>
  <si>
    <t>GEOTECNIA Y CIMENTACIONES S.A.S</t>
  </si>
  <si>
    <t xml:space="preserve">CONSULTORIA PARA LOS ESTUDIOS Y DISEÑOS PARA LA CONSTRUCCIÓN DEL PUENTE VEHICULAR SOBRE EL RIO GUAMAL QUE COMUNICA EL CASCO URBANO CON LAS VEREDAS SANANTONIO Y EL TURUY DEL MUNICIPIO DE CASTILLA LA NUEVA - META </t>
  </si>
  <si>
    <t xml:space="preserve">INTERVENCIONES INTEGRALES A LA MALLA VÍAL DEL GRUPO VÍAL FASE 2 GRUPO, LOCALIDADES DE FONTIBÓN, PUENTE ARANDA Y BARRIOS UNIDOS, CONRECURSOSCOFINANCIADOS ENTRE EL IDU Y LOS FONDOS DE DESARROLLO LOCAL EN LA CIUDAD DE BOGOTÁ D.C. </t>
  </si>
  <si>
    <t>DEPARTAMENTO DEL META MUNICIPIO DE CASTILLA LA NUEVA</t>
  </si>
  <si>
    <t xml:space="preserve">CONSULTORIA PARA LOS ESTUDIOS Y DISEÑOS PARA LA CONSTRUCCIÓN DEL PUENTE VEHICULAR SOBRE EL RIO GUAMAL QUE COMUNICA EL CASCO URBANO CON LAS VEREDAS SANANTONIO Y EL TURUY DEL MUNICIPIO DE CASTILLA LA NUEVA META </t>
  </si>
  <si>
    <t>PLAN DE MANTENIMIENTO, ESTUDIO DEL ESTADO DE LAS VÍAS, DISEÑO DE PAVIMENTOS, EVALUACIÓN DE SITIOS INESTABLES Y ESTUDIOS GEOTÉCNICOS PARA LA CIMENTACIÓN DE ESTRUCTURAS EXISTENTE (PUENTES), Para el Contrato de Concesión No. 003 "Elaboración de los Estudios y Diseños Definitivos, Gestión Predial, Gestión Ambiental, Gestión Social del Proyecto Víal Rumichaca - Pasto - Chachagüí - Aeropuerto, Adicionalmente el Diseño Definitivo del Tunel Daza".</t>
  </si>
  <si>
    <t>DISEÑO GEOTÉCNICO Y DE PAVIMENTOS DE LA CARRETERA BOGOTÁ - SIBERIA - EL VINO - LA VEGA - VILLETA RUTA NACIONAL 50 TRAMO 08 EN EL DEPARTAMENTO DE CUNDINAMARCA.</t>
  </si>
  <si>
    <t>CONSORCIO ESTUDIOS TÉCNICOS - CEI</t>
  </si>
  <si>
    <t>CONCESIÓN SABANA DE OCCIDENTE</t>
  </si>
  <si>
    <t>C.I.C CONSULTORES DE INGENIERIA S.A.S</t>
  </si>
  <si>
    <t xml:space="preserve">Estudios y diseños para la pavimentación de la Vía Santa María - Puente Guavio En Una Longitud de 18 Kilómetros. </t>
  </si>
  <si>
    <t xml:space="preserve">Estudios y Diseños para la construcción en proyectos de concesión de las intersecciones a nivel y desnivel e intercambiadores viales entre la Variante Norte de MONTERIA y la Variante de MONTERIA en la de acceso al Vidrio y en la Variante que conduce a ARBOLETES. </t>
  </si>
  <si>
    <t>EMGESA S.A. EPS</t>
  </si>
  <si>
    <t>Estudios y diseños del nuevo puente sobre el Río Carare en la Troncal de Magdalena Medio.</t>
  </si>
  <si>
    <t xml:space="preserve">Estudios y Diseños para la construcción en proyectos de concesión de las carreteras: Planetarica - Montería - Cereté la Ye - Sincelejo, Lorica - Coveñas - Tolú - Tolu Viejo. </t>
  </si>
  <si>
    <t>CONSORCIO PUENTES SOACHA</t>
  </si>
  <si>
    <t>Estudios de Fase III para el proyecto vial Bucaramanga – Troncal del Magdalena Medio, sector Bucaramanga – El Conchal</t>
  </si>
  <si>
    <t>EMPROCIV</t>
  </si>
  <si>
    <t>Estudios y Diseños definitivos para la Construcción de obras de Mejoramiento Integral del Barrio Nueva Colombia, sectores B y C en el Municipio de Florencia - Caquetá</t>
  </si>
  <si>
    <t>Estudio y Diseño para la Construccion de dos Pontones sobre la Av. Suba cerca de la Av. Ciudad de Cali en la Ciudad de Bogota D.C., dentro del marco del Convenio Nº 001 de 2005 Celebrado entre el Instituto de Desarrollo Urbano, Almacenes Éxito, Ospinas &amp; Cia S.A. y Constructora Colpatria.</t>
  </si>
  <si>
    <t>IMOC</t>
  </si>
  <si>
    <t>Ospinas &amp; Cia S.A.</t>
  </si>
  <si>
    <t>Emprociv</t>
  </si>
  <si>
    <t>Estudios y Diseños de la Vía El Cero - Bocas, Municipio de Rionegro. Incluye Estudios de Tránsito, Geología, Hidráulica, Pavimentos, Diseño de mezclas, Diseño geométrico, Afectación Predial, Evaluación económica.</t>
  </si>
  <si>
    <t>Estudios de Fase III para el proyecto vial Bucaramanga – Troncal del Magdalena Medio, sector Bucaramanga – El Conchal. Incluye Estudios y Diseño de Puentes.</t>
  </si>
  <si>
    <t>Estudio y Diseño para la Construcción de dos Pontones sobre la Av. Suba cerca de la Av. Ciudad de Cali en la Ciudad de Bogotá D.C., dentro del marco del Convenio Nº 001 de 2005 Celebrado entre el Instituto de Desarrollo Urbano, Almacenes Éxito, Ospinas &amp; Cia S.A. y Constructora Colpatria.</t>
  </si>
  <si>
    <t>Estudios y Diseños definitivos para la Construcción de obras de Mejoramiento Integral del Barrio Nueva Colombia, sectores B y C en el Municipio de Florencia - Caquetá. Incluye diseño de puente vehicular sobre Q. La Sardina y Elaboración de fichas prediales para reasentamiento.</t>
  </si>
  <si>
    <t>Gobernación de Santander</t>
  </si>
  <si>
    <t>CONSORCIO PUENTES SOACHA (2)</t>
  </si>
  <si>
    <t>MIGUEL EFRAIN ROSERO POLO</t>
  </si>
  <si>
    <t>DISEÑO DE PUENTES PARA LA INFRAESTRUCTURA FERREA  DE LA VIA ENTREGADA EN CONCESION, CORRESPONDIENTE AL SECTOR UNO, EN EL CUAL SE ENCUENTRA COMPRENDIDO EL PK 751+000 AL 807+000</t>
  </si>
  <si>
    <t>EL CONTRATISTA SE COMPROMETE A REALIZAR LOS ESTUDIOS, DISEÑOS, DEMOLICION Y/O RETIRO DE ESTRUCTURAS PROVISIONALES Y CONSTRUCCION DE UN (1) PUENTE PEATONAL UBICADO EN LA AUTOPISTA NORTE POR CALLE 205 EN BOGOTA, D.C. DE ACUERDO CON LA DESCRIPCION, ESPECIFICACIONES Y DEMAS CONDICIONES ESTABLECIDAS EN LA PROPUESTA EL 2 DE MAYO DE 2005, LAS REGLAS DE PARTICIPACION Y DOCUMENTOS TECNICOS, LOS CUALES HACEN PARTE INTEGRAL DE ESTE CONTRATO</t>
  </si>
  <si>
    <t>ESTUDIOS, DISEÑOS Y CONSTRUCCION DE LOS PUENTES PEATONALES MANITAS, NUEVA COLOMBIA Y LA TROMPETA EN LA LOCALIDAD DE CIUDAD BOLIVAR EN BOGOTA D.C</t>
  </si>
  <si>
    <t>INTERVENTORIA SIMULTANEA TECNICA, ADMINISTRATIVA, FINANCIERA, LEGAL, SOCIAL Y AMBIENTAL A LOS ESTUDIOS Y DISEÑOS PARA LA CONSTRUCCIÓN DE DOS PUENTES VEHICULARES (PONTONES) SOBRE LA QUEBRADA LIMAS EN LA LOCALIDAD DE CIUDAD BOLÍVAR, Y AL DIAGNOSTICO, REVISIÓN DE LA CAPACIDAD DE CARGA Y DISEÑOS DEL REFORZAMIENTO DEL PUENTE VEHICULAR DE LA AVENIDA BOYACÁ POR RIO TUNJUELITO COSTADO ORIENTAL EN BOGOTÁ D.C.</t>
  </si>
  <si>
    <t>FERROCARRILES NACIONES DEL NORTE (FENOCO)</t>
  </si>
  <si>
    <t>Estudios y diseños para la construccion de la variante a la carretera San Antonio de Parado - Heliconia</t>
  </si>
  <si>
    <t>Estudios y Diseños Definitivos para las obras de Construcción, Mejoramiento y Rehabilitación del Proyecto Concesión Vial Ruta Caribe</t>
  </si>
  <si>
    <t>Estudios y Diseños para la Construcción y Mejoramiento de la concesión vial Duitama – Charala – San Gil (132 km).</t>
  </si>
  <si>
    <t>Estudios y Diseños definitivos para la Construcción de la Segunda Calzada de la Carretera Gambote – Variante Mamonal, la Variante Cartagena y la Carretera Palmar de Varela- Sabanagrande y los Estudios y Diseños para el Mejoramiento del tramo existente la Carretera Gambote – Variante Mamonal, y la Variante Cartagena</t>
  </si>
  <si>
    <t>ESTUDIOS Y DISEÑOS PARA EL  MEJORAMIENTO  DE LA CALZADA EXISTENTE ENTRE SABANALARGA Y BARRANQUILLA (42 KM) Y LOS ESTUDIOS Y DISEÑOS PARA LA CONSTRUCCIÓN DE LA SEGUNDA CALZADA ENTRE GALAPA Y BARRANQUILLA (15 KM), DE LA CONCESIÓN RUTA CARIBE.</t>
  </si>
  <si>
    <t>Alcaldia de Medellin</t>
  </si>
  <si>
    <t>AUTOPISTAS DEL SOL S.A.</t>
  </si>
  <si>
    <t>AUTOPISTA DUITAMA SAN GIL S.A.</t>
  </si>
  <si>
    <t>AUTOPISTAS DEL SOL S.A</t>
  </si>
  <si>
    <t>TECNOCONSULTA S.A.S.</t>
  </si>
  <si>
    <t>Estudios y diseños definitivos para las obras de construccion, mejoramiento y rehabilitacion de la concesion vial cordoba - Sucre.</t>
  </si>
  <si>
    <t>AUTOPISTAS DE LA SABANA</t>
  </si>
  <si>
    <t>CONSORCIO PROES - CPT</t>
  </si>
  <si>
    <t>COMPAÑÍA DE PROYECTOS TÉCNICOS CPT S.A.</t>
  </si>
  <si>
    <t>Redacción proyecto construccion pasos inferiores y pasarelas peatonales. Tramo: Circunvalación de Santigo (La Coruña)</t>
  </si>
  <si>
    <t>Proyecto construcción Autovia del Cantanbrico (A-8)N -634 de San Sebastian a Santiago de Compostela, Mondoñedo - Lorenzana</t>
  </si>
  <si>
    <t>Estudios y Diseños por el Sistema de Precio Global Fijo de Pavimentos Locales y Accesos a Barrios, en la Localidad de Usaquen y Chapinero</t>
  </si>
  <si>
    <t>Estudios y Diseños de la Estación de Cabecera y el Patio  (garaje) de la Trocanl Américas, para el proyecto Trasmilenio .</t>
  </si>
  <si>
    <t>ESPAÑA</t>
  </si>
  <si>
    <t>MINISTERIO DEL FOMENTO</t>
  </si>
  <si>
    <t>INSTITUTO DE DESARROLLO URBANO - IDU</t>
  </si>
  <si>
    <t>COMPAÑÍA DE PROYECTOS TECNICOS CPT S.A.</t>
  </si>
  <si>
    <t>Proyecto de construcción de Viaducto de paso del nuevo acceso vial norte a Sevilla La Rinconada</t>
  </si>
  <si>
    <t>Proyecto construcción Autov. del Cantabrico (A-8) N-634 de San Sebastian a Santiago de Compostela. Mondoñedo - Lorenzana</t>
  </si>
  <si>
    <t>Redaccion proyecto construcción pasos inferiores y pasarelas peatonales. Tramo: Circunvalación de Santiago (La Coruña)</t>
  </si>
  <si>
    <t>Estudios y Diseños por el Sistema de Precio Global Fijo de Pavimentos Locales y Accesos a Barrios, en la Localidad de Usaquen y Chapinero.</t>
  </si>
  <si>
    <t>Junta de Andalucía</t>
  </si>
  <si>
    <t>MINISTERIO DE FOMENTO</t>
  </si>
  <si>
    <t>INSTITUTO DE DESARROLLO URBANO (IDU)</t>
  </si>
  <si>
    <t>PROYECTOS Y ESTRUCTURAS ESPECIALES S.A.S. (L)</t>
  </si>
  <si>
    <t>Conversion Euro a Dólar 5 de julio de 2006=1,27280; 23 de Diciembre de 2003=1,24050;7 de noviembre de 2007=1,46540</t>
  </si>
  <si>
    <t>Conversion de Dólar a Euro 5 de julio de 2006=2579,08; 23 de diciembre de 2003=2809,09;7 de noviembre de 2007=2012,89</t>
  </si>
  <si>
    <t>TECNICAS COLOMBIANAS DE INGENIERIA SAS (L)</t>
  </si>
  <si>
    <t>CONSULTORES SOLANO NAVAS LTDA (L)</t>
  </si>
  <si>
    <t>16,65 (Solano Navas)</t>
  </si>
  <si>
    <t>18,26 (Miguel Rosero)</t>
  </si>
  <si>
    <t>41,66 (PROES)</t>
  </si>
  <si>
    <r>
      <rPr>
        <b/>
        <sz val="10"/>
        <rFont val="Times New Roman"/>
        <family val="1"/>
      </rPr>
      <t>CRITERIO 1:</t>
    </r>
    <r>
      <rPr>
        <sz val="10"/>
        <rFont val="Times New Roman"/>
        <family val="1"/>
      </rPr>
      <t>CONSULTORÍA EN  ESTUDIOS Y DISEÑOS PARA LA CONSTRUCCIÓN EN INFRAESTRUCTURA VIAL(No serán válidos los contratos cuyo objeto y/o alcance sea el de rehabilitación de carreteras existentes y/o mantenimiento y/o mejoramiento) TODOS LOS PROPONENTES Y/O INTEGRANTES DEBEN ACREDITAS MINIMO 1 CONTRATO</t>
    </r>
  </si>
  <si>
    <t>CRITERIO 3</t>
  </si>
  <si>
    <t>N/A</t>
  </si>
  <si>
    <t>SI</t>
  </si>
  <si>
    <t>CTO &gt; 4 Meses</t>
  </si>
  <si>
    <t>% de particip. en la estructura plural anterior</t>
  </si>
  <si>
    <t>*Fecha de terminacion ajustada conforme a certificacion  folio 67
*Valor ajustado conforme certificación folio 67</t>
  </si>
  <si>
    <r>
      <t xml:space="preserve">CRITERIO 3: </t>
    </r>
    <r>
      <rPr>
        <sz val="10"/>
        <rFont val="Times New Roman"/>
        <family val="1"/>
      </rPr>
      <t>SUMAR 1,5 VECES DEL PRESUPUESTO OFICIAL EN SMLV 2013  =  $577.371,297   =  979,43 SMLV 2013; MAX EN 5 CTOS, PARA PLURALES EL LIDER APORTAR 60% DEL VALOR REQUERIDO EN MAX 2 CTOS.</t>
    </r>
  </si>
  <si>
    <t>% Participación
Adenda 1</t>
  </si>
  <si>
    <t xml:space="preserve"> ELABORACION DE LOS ESTUDIOS Y DISEÑOS DEFINITIVOS DEL CORREDOR TRONCAL SUR DEL PROYECTO DEL SISTEMA INTEGRADO DE TRANSPORTE MASIVO DE PASAJEROS DE SANTIAGO DE CALI.</t>
  </si>
  <si>
    <t>ELABORACION DE LOS ESTUDIOS Y DISÑEOS DE L CORREDORE TRONCAL ORIENTAL DEL SISTEMA INTEGRAL DEL TRANSPORTE MASIVO DE LA CIODAD DE CALI</t>
  </si>
  <si>
    <t>* Se modifica valor conforme a certificacion folio 42</t>
  </si>
  <si>
    <t>* Se modifica valor conforme a certificacion folio 56</t>
  </si>
  <si>
    <t>*Valor modificado conforme a certificacion de folio 91</t>
  </si>
  <si>
    <t>*Valor de contrato adicionado conforme a certificacion folio 34, no se estipula en el formato</t>
  </si>
  <si>
    <t>*Valor de contrato adicionado conforme a certificacion folio 38, no se estipula en el formato</t>
  </si>
  <si>
    <t>NO CUMPLE</t>
  </si>
  <si>
    <t>*Fecha de inicio ajustada conforme a certificacion  folio 6
*No se tiene en cuenta este contrato por tener duracion menor a 4 meses, según lo establecido en Num 5.1.1.</t>
  </si>
  <si>
    <t>*Fecha de inicio ajustada conforme a certificacion  folio 56</t>
  </si>
  <si>
    <t>*Valor modificado conforme a certificacion de folio 58</t>
  </si>
  <si>
    <t>*Se realiza calculto con base a banrep, cambia valor aportado</t>
  </si>
  <si>
    <t>*Valor modificado conforme a certificacion de folio 98</t>
  </si>
  <si>
    <t>% de participación en la estructura plural anterior</t>
  </si>
  <si>
    <t>NOTA: CON LA INFORMACION APORTADA EN LA PROPUESTA, LA ENTIDAD VERIFICÓ LA EXPERIENCIA ESPECÍFICAY SE ENCONTRÓ QUE EL PROPONENTE  CUMPLE</t>
  </si>
  <si>
    <r>
      <rPr>
        <b/>
        <sz val="10"/>
        <rFont val="Arial"/>
        <family val="2"/>
      </rPr>
      <t>CRITERIO 3:</t>
    </r>
    <r>
      <rPr>
        <sz val="10"/>
        <rFont val="Arial"/>
        <family val="2"/>
      </rPr>
      <t>Por lo menos uno de los contratos acreditados deberá incluir dentro del objeto y/o alcance la  Gestión Predial para proyectos de construcción en infraestructura vial</t>
    </r>
  </si>
  <si>
    <r>
      <rPr>
        <b/>
        <sz val="10"/>
        <rFont val="Arial"/>
        <family val="2"/>
      </rPr>
      <t>CRITERIO 2:</t>
    </r>
    <r>
      <rPr>
        <sz val="10"/>
        <rFont val="Arial"/>
        <family val="2"/>
      </rPr>
      <t xml:space="preserve"> Por lo menos uno (1) de los contratos acreditados deberá incluir la consultoría o interventoría en estudios y diseños para la construcción de puentes peatonales</t>
    </r>
  </si>
  <si>
    <t>PUNTAJE Num 5.1.1.
Apoyo Industria</t>
  </si>
  <si>
    <r>
      <t xml:space="preserve">CRITERIO 1: </t>
    </r>
    <r>
      <rPr>
        <sz val="10"/>
        <rFont val="Arial"/>
        <family val="2"/>
      </rPr>
      <t>SUMAR 1,5 VECES DEL PRESUPUESTO OFICIAL EN SMLV 2013  =  $577.371,297   =  979,43 SMLV 2013.</t>
    </r>
  </si>
  <si>
    <r>
      <t xml:space="preserve">PUNTAJE Num 5.1.1.
</t>
    </r>
    <r>
      <rPr>
        <b/>
        <sz val="10"/>
        <rFont val="Calibri"/>
        <family val="2"/>
      </rPr>
      <t xml:space="preserve"># </t>
    </r>
    <r>
      <rPr>
        <b/>
        <sz val="10"/>
        <rFont val="Times New Roman"/>
        <family val="1"/>
      </rPr>
      <t>Contratos</t>
    </r>
  </si>
  <si>
    <t>X</t>
  </si>
  <si>
    <r>
      <rPr>
        <b/>
        <sz val="10"/>
        <rFont val="Arial"/>
        <family val="2"/>
      </rPr>
      <t xml:space="preserve">PUNTAJE CONTRATOS 5.1.1: </t>
    </r>
    <r>
      <rPr>
        <sz val="10"/>
        <rFont val="Arial"/>
        <family val="2"/>
      </rPr>
      <t>Otorgará como máximo NOVECIENTOS (900) puntos únicamente a los cuatro (4) primeros contratos relacionados, 5 contratos OCHOCIENTOS (800) y seis (6) contratos SETECIENTOS (700) puntos</t>
    </r>
  </si>
  <si>
    <r>
      <t xml:space="preserve">NOTA: </t>
    </r>
    <r>
      <rPr>
        <sz val="10"/>
        <rFont val="Arial"/>
        <family val="2"/>
      </rPr>
      <t>La experiencia específica será acreditada por parte de los proponentes a través de máximo en seis (6) y mínimo en cuatro (4) contratos de consultoría en estudios y diseños para la construcción en infraestructura vial. Que tengan por objeto y/o alcance la elaboración de estudios y diseños de construcción de vías</t>
    </r>
  </si>
  <si>
    <t>APOYO INDUSTRIA NAL = Se otorgará un puntaje máximo de Cien (100) puntos si presenta el Anexo No. 8, Apoyo a la Industria Nacional</t>
  </si>
  <si>
    <t>Solano Navas (L)</t>
  </si>
  <si>
    <t>PROYECTOS Y ESTRUCTURAS ESPECIALES S.A.S (L)</t>
  </si>
  <si>
    <t>ALEJANDRO TINJACA</t>
  </si>
  <si>
    <t>PROPONENTE SINGULAR</t>
  </si>
  <si>
    <t xml:space="preserve">N/A </t>
  </si>
  <si>
    <r>
      <rPr>
        <b/>
        <sz val="10"/>
        <rFont val="Arial"/>
        <family val="2"/>
      </rPr>
      <t>CRITERIO 2:</t>
    </r>
    <r>
      <rPr>
        <sz val="10"/>
        <rFont val="Arial"/>
        <family val="2"/>
      </rPr>
      <t xml:space="preserve"> Por lo menos uno (1) de los contratos acreditados deberá incluir la consultoría o interventoría en estudios y diseños para la construcción de puentes peatonales y/o vehiculares</t>
    </r>
  </si>
  <si>
    <t>*Valor modificado conforme a certificacion de folio 25</t>
  </si>
  <si>
    <t>*Valor modificado conforme a certificacion de folio 3</t>
  </si>
  <si>
    <t>*Valor modificado conforme a certificacion de folio 20</t>
  </si>
  <si>
    <t>*Valor modificado conforme a certificacion de folio 35</t>
  </si>
  <si>
    <t>*Fecga inicio y fecha de terminacion modificada conforme a certificacion folio 48</t>
  </si>
  <si>
    <t>*Valores no contemplado en formato, tomados de certificaciones anexas</t>
  </si>
  <si>
    <r>
      <rPr>
        <b/>
        <sz val="10"/>
        <rFont val="Times New Roman"/>
        <family val="1"/>
      </rPr>
      <t>CRITERIO 1:</t>
    </r>
    <r>
      <rPr>
        <sz val="10"/>
        <rFont val="Times New Roman"/>
        <family val="1"/>
      </rPr>
      <t>CONSULTORÍA EN  ESTUDIOS Y DISEÑOS PARA LA CONSTRUCCIÓN EN INFRAESTRUCTURA VIAL(No serán válidos los contratos cuyo objeto y/o alcance sea el de rehabilitación de carreteras existentes y/o mantenimiento y/o mejoramiento) TODOS LOS PROPONENTES Y/O INTEGRANTES DEBEN ACREDITAR MINIMO 1 CONTRATO</t>
    </r>
  </si>
  <si>
    <r>
      <t>CRITERIO 1:</t>
    </r>
    <r>
      <rPr>
        <sz val="10"/>
        <rFont val="Times New Roman"/>
        <family val="1"/>
      </rPr>
      <t>CONSULTORÍA EN  ESTUDIOS Y DISEÑOS PARA LA CONSTRUCCIÓN EN INFRAESTRUCTURA VIAL(No serán válidos los contratos cuyo objeto y/o alcance sea el de rehabilitación de carreteras existentes y/o mantenimiento y/o mejoramiento) TODOS LOS PROPONENTES Y/O INTEGRANTES DEBEN ACREDITAR MINIMO 1 CONTRATO</t>
    </r>
  </si>
  <si>
    <r>
      <t xml:space="preserve">% PARTICIPACION: </t>
    </r>
    <r>
      <rPr>
        <sz val="10"/>
        <rFont val="Times New Roman"/>
        <family val="1"/>
      </rPr>
      <t>Si aporta experiencia con participación mayor o igual a 30% se tomará el 100%</t>
    </r>
  </si>
  <si>
    <t>TECNOCONSULTA S.A.S</t>
  </si>
  <si>
    <t>ALEJANDRO TINJACA MARTINEZ</t>
  </si>
  <si>
    <t>COMITÉ EVALUADOR (COMPONENTE TÉCNICO PREDIAL)</t>
  </si>
  <si>
    <t>EXP PROBABLE (AÑOS) &gt;= 10 AÑOS</t>
  </si>
  <si>
    <t>Realizar la consultoria a precio global fijo sin reajuste, consistente en los estudios y diseños para la construccion de dos (2) puentes vehiculares (pontones) sobre la quebrada limas en la localidad de ciudad bolivar en Bogota D.C.</t>
  </si>
  <si>
    <t>FOLIO 38</t>
  </si>
  <si>
    <t>FOLIO 40</t>
  </si>
  <si>
    <t>FOLIO 2 Y 8</t>
  </si>
  <si>
    <t>ELABORACION DE LOS ESTUDIOS Y DISÑEOS DE L CORREDORE TRONCAL ORIENTAL SISTEMA DE TRANSPORTE MASIVO DE LA CIUDAD DE CALI</t>
  </si>
  <si>
    <t>DISEÑO DE LA CONEXIÓN VIAL DE LOS TRAMOS T1-T2 CALLE 70 ENTRE CARRERAS 29 Y CARRERAS 28 D) DEL PROYECTO DE TRANSPORTE INTEGRADO DE SANTIAGO DE CALI</t>
  </si>
  <si>
    <t>FOLIO 5</t>
  </si>
  <si>
    <t>FOLIO 36</t>
  </si>
  <si>
    <t>FOLIO 3</t>
  </si>
  <si>
    <t>folio 14</t>
  </si>
  <si>
    <t>folio 3</t>
  </si>
  <si>
    <t>folio 6</t>
  </si>
  <si>
    <t>*No se tiene en cuenta este contrato por tener duracion menor a 4 meses, según lo establecido en Num 5.1.1.</t>
  </si>
  <si>
    <t>*Contrato certificado con un plazo de tres meses folio 95
*No se tiene en cuenta este contrato por tener duracion menor a 4 meses, según lo establecido en Num 5.1.1.</t>
  </si>
  <si>
    <t>NOTA: El cumplimiento de la acreditación de la experiencia específica, dará lugar a la asignación del puntaje</t>
  </si>
  <si>
    <t>APORTAN MINIMO 4 CONTRATOS</t>
  </si>
  <si>
    <t>NO</t>
  </si>
  <si>
    <t>Ninguno de los contratos areditados incluye dentro del objeto ni dentro del alcance  la gestión predial para proyectos de construccion de infraestructura vial</t>
  </si>
  <si>
    <t>-</t>
  </si>
  <si>
    <t>No se tiene en cuenta un contrato aportado por tener duracion menor a 4 meses, según lo establecido en Num 5.1.1.; por tanto no cumple con criterio de mínimo 4 contratos</t>
  </si>
  <si>
    <t>*No se tiene en cuenta un contrato aportado por tener duracion menor a 4 meses, según lo establecido en Num 5.1.1.; por tanto no cumple con criterio de mínimo 4 contratos
*Ninguno de los contratos areditados incluye dentro del objeto ni dentro del alcance  la gestión predial para proyectos de construccion de infraestructura vial</t>
  </si>
  <si>
    <t>*El proponente aporta aclaración mediante radicado 2013-409-026909-2</t>
  </si>
  <si>
    <t xml:space="preserve">*Valor ajustado conforme certificación folio 2
*Suspension de 1 mes por lo tanto acredita un plazo de 3 meses </t>
  </si>
  <si>
    <t>ESTUDIOS Y DISEÑOS PARA EL REEMPLAZO DE PUENTES PARA LOS DEPARTAMENTOS DE BOYACA Y NORTE DE SANTANDER</t>
  </si>
  <si>
    <t>*Valor modificado conforme a certificacion de folio 13
*No se tiene encuenta este contrato porque se encuentra % de participacion conforme a lo estipulado en el numeral 4.3.2.10</t>
  </si>
  <si>
    <t>*Valores no contemplado en formato, tomados de certificaciones anexas
*No coincide plazo certificado con fechas de inicio y de terminacion</t>
  </si>
  <si>
    <t>No se tiene en cuenta un contrato aportado por tener duracion menor a 4 meses, según lo establecido en Num 5.1.1.; tampoco el segundo contrato por no acreditar % de participacion por tanto no cumple con criterio de mínimo 4 contratos</t>
  </si>
  <si>
    <t>Dentro del alcance del contrato esta contiene el diseño de puentes peatonales</t>
  </si>
  <si>
    <t>*No se tiene en cuenta este contrato por tener ejecucion de 3 meses para estudios y diseños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</si>
</sst>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43" formatCode="_(* #,##0.00_);_(* \(#,##0.00\);_(* &quot;-&quot;??_);_(@_)"/>
    <numFmt numFmtId="164" formatCode="_-* #,##0.00\ _€_-;\-* #,##0.00\ _€_-;_-* &quot;-&quot;??\ _€_-;_-@_-"/>
    <numFmt numFmtId="165" formatCode="_(&quot;$&quot;* #,##0.00_);_(&quot;$&quot;* \(#,##0.00\);_(&quot;$&quot;* &quot;-&quot;??_);_(@_)"/>
    <numFmt numFmtId="166" formatCode="_ * #,##0.00_ ;_ * \-#,##0.00_ ;_ * &quot;-&quot;??_ ;_ @_ "/>
    <numFmt numFmtId="167" formatCode="_ [$€-2]\ * #,##0.00_ ;_ [$€-2]\ * \-#,##0.00_ ;_ [$€-2]\ * &quot;-&quot;??_ "/>
    <numFmt numFmtId="168" formatCode="_-[$$-240A]\ * #,##0.00_ ;_-[$$-240A]\ * \-#,##0.00\ ;_-[$$-240A]\ * &quot;-&quot;??_ ;_-@_ "/>
    <numFmt numFmtId="169" formatCode="_(* #,##0_);_(* \(#,##0\);_(* &quot;-&quot;??_);_(@_)"/>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Times New Roman"/>
      <family val="1"/>
    </font>
    <font>
      <b/>
      <sz val="12"/>
      <name val="Times New Roman"/>
      <family val="1"/>
    </font>
    <font>
      <sz val="11"/>
      <name val="Times New Roman"/>
      <family val="1"/>
    </font>
    <font>
      <b/>
      <sz val="11"/>
      <name val="Times New Roman"/>
      <family val="1"/>
    </font>
    <font>
      <b/>
      <sz val="10"/>
      <name val="Times New Roman"/>
      <family val="1"/>
    </font>
    <font>
      <b/>
      <sz val="10"/>
      <name val="Arial"/>
      <family val="2"/>
    </font>
    <font>
      <sz val="11"/>
      <color indexed="8"/>
      <name val="Calibri"/>
      <family val="2"/>
    </font>
    <font>
      <sz val="12"/>
      <color theme="1"/>
      <name val="Calibri"/>
      <family val="2"/>
    </font>
    <font>
      <sz val="12"/>
      <color indexed="8"/>
      <name val="Calibri"/>
      <family val="2"/>
    </font>
    <font>
      <b/>
      <sz val="12"/>
      <name val="Arial"/>
      <family val="2"/>
    </font>
    <font>
      <sz val="8"/>
      <name val="Arial"/>
      <family val="2"/>
    </font>
    <font>
      <b/>
      <sz val="9"/>
      <name val="Arial"/>
      <family val="2"/>
    </font>
    <font>
      <sz val="10"/>
      <name val="Arial Narrow"/>
      <family val="2"/>
    </font>
    <font>
      <sz val="11"/>
      <name val="Arial"/>
      <family val="2"/>
    </font>
    <font>
      <b/>
      <sz val="12"/>
      <color rgb="FF3F3F3F"/>
      <name val="Calibri"/>
      <family val="2"/>
    </font>
    <font>
      <sz val="9"/>
      <name val="Arial"/>
      <family val="2"/>
    </font>
    <font>
      <b/>
      <u/>
      <sz val="14"/>
      <name val="Times New Roman"/>
      <family val="1"/>
    </font>
    <font>
      <sz val="10"/>
      <name val="Arial"/>
      <family val="2"/>
    </font>
    <font>
      <b/>
      <sz val="12"/>
      <name val="Cambria"/>
      <family val="1"/>
    </font>
    <font>
      <sz val="12"/>
      <color theme="0"/>
      <name val="Arial Unicode MS"/>
      <family val="2"/>
    </font>
    <font>
      <sz val="10"/>
      <color theme="0"/>
      <name val="Arial"/>
      <family val="2"/>
    </font>
    <font>
      <sz val="10"/>
      <name val="Times New Roman"/>
      <family val="1"/>
    </font>
    <font>
      <sz val="10"/>
      <color theme="1"/>
      <name val="Times New Roman"/>
      <family val="1"/>
    </font>
    <font>
      <sz val="8"/>
      <name val="Times New Roman"/>
      <family val="1"/>
    </font>
    <font>
      <sz val="8"/>
      <color theme="1"/>
      <name val="Times New Roman"/>
      <family val="1"/>
    </font>
    <font>
      <b/>
      <sz val="10"/>
      <name val="Calibri"/>
      <family val="2"/>
    </font>
    <font>
      <b/>
      <sz val="8"/>
      <name val="Arial"/>
      <family val="2"/>
    </font>
    <font>
      <sz val="9"/>
      <color indexed="81"/>
      <name val="Tahoma"/>
      <family val="2"/>
    </font>
    <font>
      <b/>
      <sz val="9"/>
      <color indexed="81"/>
      <name val="Tahoma"/>
      <family val="2"/>
    </font>
    <font>
      <sz val="9"/>
      <color theme="1"/>
      <name val="Times New Roman"/>
      <family val="1"/>
    </font>
    <font>
      <b/>
      <sz val="7"/>
      <name val="Arial"/>
      <family val="2"/>
    </font>
    <font>
      <sz val="7"/>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149">
    <xf numFmtId="0" fontId="0" fillId="0" borderId="0"/>
    <xf numFmtId="43" fontId="4" fillId="0" borderId="0" applyFont="0" applyFill="0" applyBorder="0" applyAlignment="0" applyProtection="0"/>
    <xf numFmtId="9" fontId="3" fillId="0" borderId="0" applyFont="0" applyFill="0" applyBorder="0" applyAlignment="0" applyProtection="0"/>
    <xf numFmtId="0" fontId="4" fillId="0" borderId="0"/>
    <xf numFmtId="43"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44" fontId="11"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9" fontId="11" fillId="0" borderId="0" applyFont="0" applyFill="0" applyBorder="0" applyAlignment="0" applyProtection="0"/>
    <xf numFmtId="0" fontId="12" fillId="0" borderId="0"/>
    <xf numFmtId="167"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3" fillId="0" borderId="0" applyFont="0" applyFill="0" applyBorder="0" applyAlignment="0" applyProtection="0"/>
    <xf numFmtId="166" fontId="4" fillId="0" borderId="0" applyFont="0" applyFill="0" applyBorder="0" applyAlignment="0" applyProtection="0"/>
    <xf numFmtId="0" fontId="4" fillId="0" borderId="0"/>
    <xf numFmtId="0" fontId="12"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4" borderId="12" applyNumberFormat="0" applyFont="0" applyAlignment="0" applyProtection="0"/>
    <xf numFmtId="0" fontId="13" fillId="4" borderId="12" applyNumberFormat="0" applyFont="0" applyAlignment="0" applyProtection="0"/>
    <xf numFmtId="9" fontId="11"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9" fillId="3" borderId="11" applyNumberFormat="0" applyAlignment="0" applyProtection="0"/>
    <xf numFmtId="44" fontId="1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2"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4" fillId="0" borderId="0" applyFont="0" applyFill="0" applyBorder="0" applyAlignment="0" applyProtection="0"/>
  </cellStyleXfs>
  <cellXfs count="353">
    <xf numFmtId="0" fontId="0" fillId="0" borderId="0" xfId="0"/>
    <xf numFmtId="0" fontId="6" fillId="0" borderId="0" xfId="3" applyFont="1" applyAlignment="1">
      <alignment horizontal="center" vertical="center"/>
    </xf>
    <xf numFmtId="0" fontId="6" fillId="0" borderId="0" xfId="3" applyFont="1" applyAlignment="1">
      <alignment horizontal="left" vertical="center"/>
    </xf>
    <xf numFmtId="0" fontId="0" fillId="0" borderId="0" xfId="0" applyBorder="1"/>
    <xf numFmtId="0" fontId="8" fillId="2" borderId="10" xfId="3" applyFont="1" applyFill="1" applyBorder="1" applyAlignment="1">
      <alignment horizontal="center" vertical="center" wrapText="1"/>
    </xf>
    <xf numFmtId="0" fontId="10" fillId="0" borderId="0" xfId="0" applyFont="1"/>
    <xf numFmtId="0" fontId="18" fillId="0" borderId="5"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4" fillId="0" borderId="0" xfId="3"/>
    <xf numFmtId="0" fontId="21" fillId="0" borderId="0" xfId="3" applyFont="1" applyFill="1" applyAlignment="1">
      <alignment vertical="center"/>
    </xf>
    <xf numFmtId="0" fontId="6" fillId="0" borderId="0" xfId="3" applyFont="1" applyAlignment="1">
      <alignment horizontal="center" vertical="center"/>
    </xf>
    <xf numFmtId="0" fontId="6" fillId="0" borderId="0" xfId="3" applyFont="1" applyAlignment="1">
      <alignment horizontal="left" vertical="center"/>
    </xf>
    <xf numFmtId="0" fontId="8" fillId="0" borderId="0" xfId="3" applyFont="1" applyBorder="1" applyAlignment="1">
      <alignment horizontal="center" vertical="center"/>
    </xf>
    <xf numFmtId="0" fontId="7" fillId="0" borderId="0" xfId="3" applyFont="1" applyBorder="1" applyAlignment="1">
      <alignment vertical="center"/>
    </xf>
    <xf numFmtId="0" fontId="18" fillId="0" borderId="0" xfId="3" applyFont="1"/>
    <xf numFmtId="0" fontId="4" fillId="0" borderId="0" xfId="0" applyFont="1"/>
    <xf numFmtId="0" fontId="4" fillId="0" borderId="0" xfId="3"/>
    <xf numFmtId="0" fontId="12" fillId="0" borderId="0" xfId="51"/>
    <xf numFmtId="0" fontId="17" fillId="0" borderId="0" xfId="3" applyFont="1" applyProtection="1">
      <protection hidden="1"/>
    </xf>
    <xf numFmtId="168" fontId="7" fillId="0" borderId="0" xfId="3" applyNumberFormat="1" applyFont="1" applyBorder="1" applyAlignment="1">
      <alignment vertical="center"/>
    </xf>
    <xf numFmtId="0" fontId="16" fillId="0" borderId="8" xfId="3" applyFont="1" applyBorder="1" applyAlignment="1">
      <alignment horizontal="center" vertical="center"/>
    </xf>
    <xf numFmtId="0" fontId="16" fillId="0" borderId="15" xfId="3" applyFont="1" applyBorder="1" applyAlignment="1">
      <alignment horizontal="center" vertical="center"/>
    </xf>
    <xf numFmtId="0" fontId="18" fillId="0" borderId="1" xfId="3" applyFont="1" applyBorder="1" applyAlignment="1">
      <alignment horizontal="center" vertical="center"/>
    </xf>
    <xf numFmtId="0" fontId="20" fillId="0" borderId="2" xfId="3" applyFont="1" applyBorder="1" applyAlignment="1">
      <alignment horizontal="center" vertical="center"/>
    </xf>
    <xf numFmtId="0" fontId="20" fillId="0" borderId="5" xfId="3" applyFont="1" applyBorder="1" applyAlignment="1">
      <alignment horizontal="center" vertical="center"/>
    </xf>
    <xf numFmtId="0" fontId="6" fillId="0" borderId="0" xfId="3" applyFont="1" applyAlignment="1">
      <alignment horizontal="left" vertical="center"/>
    </xf>
    <xf numFmtId="0" fontId="7" fillId="0" borderId="0" xfId="3" applyFont="1" applyBorder="1" applyAlignment="1">
      <alignment horizontal="center" vertical="center"/>
    </xf>
    <xf numFmtId="0" fontId="7" fillId="0" borderId="0" xfId="3" applyFont="1" applyBorder="1" applyAlignment="1">
      <alignment horizontal="center" vertical="center" wrapText="1"/>
    </xf>
    <xf numFmtId="0" fontId="6" fillId="0" borderId="0" xfId="3" applyFont="1" applyAlignment="1">
      <alignment horizontal="left" vertical="center"/>
    </xf>
    <xf numFmtId="0" fontId="7" fillId="2" borderId="21" xfId="3" applyFont="1" applyFill="1" applyBorder="1" applyAlignment="1">
      <alignment horizontal="center" vertical="center"/>
    </xf>
    <xf numFmtId="0" fontId="8" fillId="2" borderId="22" xfId="3" applyFont="1" applyFill="1" applyBorder="1" applyAlignment="1">
      <alignment horizontal="center" vertical="center" wrapText="1"/>
    </xf>
    <xf numFmtId="0" fontId="6" fillId="0" borderId="0" xfId="3" applyFont="1" applyAlignment="1">
      <alignment vertical="center"/>
    </xf>
    <xf numFmtId="0" fontId="10" fillId="0" borderId="2" xfId="3" applyFont="1" applyBorder="1" applyAlignment="1">
      <alignment horizontal="center" vertical="center" wrapText="1"/>
    </xf>
    <xf numFmtId="0" fontId="10" fillId="0" borderId="0" xfId="3" applyFont="1" applyAlignment="1">
      <alignment horizontal="center"/>
    </xf>
    <xf numFmtId="43" fontId="14" fillId="5" borderId="31" xfId="1" applyFont="1" applyFill="1" applyBorder="1" applyAlignment="1">
      <alignment horizontal="center"/>
    </xf>
    <xf numFmtId="169" fontId="14" fillId="5" borderId="19" xfId="1" applyNumberFormat="1" applyFont="1" applyFill="1" applyBorder="1" applyAlignment="1"/>
    <xf numFmtId="0" fontId="24" fillId="0" borderId="0" xfId="0" applyFont="1"/>
    <xf numFmtId="4" fontId="10" fillId="6" borderId="3" xfId="0" applyNumberFormat="1" applyFont="1" applyFill="1" applyBorder="1" applyAlignment="1">
      <alignment horizontal="center" vertical="center"/>
    </xf>
    <xf numFmtId="0" fontId="10" fillId="6" borderId="4" xfId="0" applyFont="1" applyFill="1" applyBorder="1" applyAlignment="1">
      <alignment horizontal="center"/>
    </xf>
    <xf numFmtId="0" fontId="10" fillId="6" borderId="7" xfId="0" applyFont="1" applyFill="1" applyBorder="1" applyAlignment="1">
      <alignment horizontal="center"/>
    </xf>
    <xf numFmtId="0" fontId="18" fillId="0" borderId="7" xfId="3" applyFont="1" applyBorder="1" applyAlignment="1">
      <alignment horizontal="center" vertical="center"/>
    </xf>
    <xf numFmtId="0" fontId="18" fillId="0" borderId="8" xfId="3" applyFont="1" applyFill="1" applyBorder="1" applyAlignment="1">
      <alignment horizontal="left" vertical="center" wrapText="1"/>
    </xf>
    <xf numFmtId="0" fontId="20" fillId="0" borderId="8" xfId="3" applyFont="1" applyBorder="1" applyAlignment="1">
      <alignment horizontal="center" vertical="center"/>
    </xf>
    <xf numFmtId="0" fontId="17" fillId="0" borderId="0" xfId="3" applyFont="1" applyAlignment="1" applyProtection="1">
      <alignment vertical="top" wrapText="1"/>
      <protection hidden="1"/>
    </xf>
    <xf numFmtId="169" fontId="25" fillId="0" borderId="0" xfId="1" applyNumberFormat="1" applyFont="1"/>
    <xf numFmtId="0" fontId="20" fillId="7" borderId="2" xfId="3" applyFont="1" applyFill="1" applyBorder="1" applyAlignment="1">
      <alignment horizontal="center" vertical="center"/>
    </xf>
    <xf numFmtId="0" fontId="20" fillId="7" borderId="5" xfId="3" applyFont="1" applyFill="1" applyBorder="1" applyAlignment="1">
      <alignment horizontal="center" vertical="center"/>
    </xf>
    <xf numFmtId="0" fontId="20" fillId="7" borderId="8" xfId="3" applyFont="1" applyFill="1" applyBorder="1" applyAlignment="1">
      <alignment horizontal="center" vertical="center"/>
    </xf>
    <xf numFmtId="0" fontId="6" fillId="0" borderId="0" xfId="3" applyFont="1" applyAlignment="1">
      <alignment horizontal="center" vertical="center"/>
    </xf>
    <xf numFmtId="0" fontId="6" fillId="0" borderId="0" xfId="3" applyFont="1" applyAlignment="1">
      <alignment horizontal="left" vertical="center"/>
    </xf>
    <xf numFmtId="0" fontId="10" fillId="0" borderId="2" xfId="3" applyFont="1" applyBorder="1" applyAlignment="1">
      <alignment horizontal="center" vertical="center" wrapText="1"/>
    </xf>
    <xf numFmtId="0" fontId="10" fillId="0" borderId="0" xfId="3" applyFont="1" applyAlignment="1">
      <alignment horizontal="center"/>
    </xf>
    <xf numFmtId="0" fontId="26" fillId="7" borderId="2" xfId="3" applyFont="1" applyFill="1" applyBorder="1" applyAlignment="1">
      <alignment horizontal="center" vertical="center" wrapText="1"/>
    </xf>
    <xf numFmtId="0" fontId="26" fillId="7" borderId="5" xfId="3" applyFont="1" applyFill="1" applyBorder="1" applyAlignment="1">
      <alignment horizontal="center" vertical="center" wrapText="1"/>
    </xf>
    <xf numFmtId="0" fontId="10" fillId="6" borderId="25" xfId="0" applyFont="1" applyFill="1" applyBorder="1" applyAlignment="1">
      <alignment horizontal="center"/>
    </xf>
    <xf numFmtId="0" fontId="10" fillId="6" borderId="23" xfId="0" applyFont="1" applyFill="1" applyBorder="1" applyAlignment="1">
      <alignment horizontal="center"/>
    </xf>
    <xf numFmtId="0" fontId="6" fillId="0" borderId="0" xfId="3" applyFont="1" applyAlignment="1">
      <alignment horizontal="left" vertical="center"/>
    </xf>
    <xf numFmtId="0" fontId="16" fillId="0" borderId="15" xfId="3" applyFont="1" applyBorder="1" applyAlignment="1">
      <alignment horizontal="center" vertical="center" wrapText="1"/>
    </xf>
    <xf numFmtId="0" fontId="10" fillId="0" borderId="28" xfId="3" applyFont="1" applyBorder="1" applyAlignment="1">
      <alignment horizontal="center" vertical="center" wrapText="1"/>
    </xf>
    <xf numFmtId="0" fontId="6" fillId="5" borderId="0" xfId="3" applyFont="1" applyFill="1" applyAlignment="1">
      <alignment vertical="center"/>
    </xf>
    <xf numFmtId="0" fontId="5" fillId="0" borderId="0" xfId="3" applyFont="1" applyAlignment="1">
      <alignment vertical="center"/>
    </xf>
    <xf numFmtId="0" fontId="5" fillId="5" borderId="0" xfId="3" applyFont="1" applyFill="1" applyAlignment="1">
      <alignment vertical="center"/>
    </xf>
    <xf numFmtId="0" fontId="26" fillId="7" borderId="1" xfId="3" applyFont="1" applyFill="1" applyBorder="1" applyAlignment="1">
      <alignment horizontal="center" vertical="center"/>
    </xf>
    <xf numFmtId="0" fontId="26" fillId="7" borderId="4" xfId="3" applyFont="1" applyFill="1" applyBorder="1" applyAlignment="1">
      <alignment horizontal="center" vertical="center"/>
    </xf>
    <xf numFmtId="0" fontId="26" fillId="7" borderId="7" xfId="3" applyFont="1" applyFill="1" applyBorder="1" applyAlignment="1">
      <alignment horizontal="center" vertical="center"/>
    </xf>
    <xf numFmtId="0" fontId="26" fillId="7" borderId="8" xfId="3" applyFont="1" applyFill="1" applyBorder="1" applyAlignment="1">
      <alignment horizontal="center" vertical="center" wrapText="1"/>
    </xf>
    <xf numFmtId="0" fontId="18" fillId="0" borderId="34" xfId="3" applyFont="1" applyBorder="1" applyAlignment="1">
      <alignment horizontal="center" vertical="center"/>
    </xf>
    <xf numFmtId="0" fontId="20" fillId="0" borderId="18" xfId="3" applyFont="1" applyBorder="1" applyAlignment="1">
      <alignment horizontal="center" vertical="center"/>
    </xf>
    <xf numFmtId="0" fontId="20" fillId="7" borderId="18" xfId="3" applyFont="1" applyFill="1" applyBorder="1" applyAlignment="1">
      <alignment horizontal="center" vertical="center"/>
    </xf>
    <xf numFmtId="0" fontId="14" fillId="0" borderId="0" xfId="3" applyFont="1" applyAlignment="1">
      <alignment vertical="center"/>
    </xf>
    <xf numFmtId="0" fontId="10" fillId="0" borderId="0" xfId="3" applyFont="1" applyAlignment="1"/>
    <xf numFmtId="14" fontId="26" fillId="0" borderId="5" xfId="3" applyNumberFormat="1" applyFont="1" applyBorder="1" applyAlignment="1">
      <alignment horizontal="center" vertical="center" wrapText="1"/>
    </xf>
    <xf numFmtId="0" fontId="26" fillId="0" borderId="5" xfId="3" applyFont="1" applyBorder="1" applyAlignment="1">
      <alignment horizontal="center" vertical="center" wrapText="1"/>
    </xf>
    <xf numFmtId="9" fontId="26" fillId="0" borderId="5" xfId="3" applyNumberFormat="1" applyFont="1" applyBorder="1" applyAlignment="1">
      <alignment horizontal="center" vertical="center" wrapText="1"/>
    </xf>
    <xf numFmtId="9" fontId="26" fillId="0" borderId="8" xfId="3" applyNumberFormat="1" applyFont="1" applyBorder="1" applyAlignment="1">
      <alignment horizontal="center" vertical="center" wrapText="1"/>
    </xf>
    <xf numFmtId="14" fontId="26" fillId="0" borderId="8" xfId="3" applyNumberFormat="1" applyFont="1" applyBorder="1" applyAlignment="1">
      <alignment horizontal="center" vertical="center" wrapText="1"/>
    </xf>
    <xf numFmtId="0" fontId="6" fillId="0" borderId="0" xfId="3" applyFont="1" applyAlignment="1">
      <alignment horizontal="center" vertical="center"/>
    </xf>
    <xf numFmtId="0" fontId="27" fillId="7" borderId="5" xfId="0" applyFont="1" applyFill="1" applyBorder="1" applyAlignment="1">
      <alignment vertical="center" wrapText="1"/>
    </xf>
    <xf numFmtId="0" fontId="27" fillId="7" borderId="2" xfId="0" applyFont="1" applyFill="1" applyBorder="1" applyAlignment="1">
      <alignment wrapText="1"/>
    </xf>
    <xf numFmtId="4" fontId="26" fillId="7" borderId="2" xfId="0" applyNumberFormat="1" applyFont="1" applyFill="1" applyBorder="1" applyAlignment="1">
      <alignment vertical="center"/>
    </xf>
    <xf numFmtId="4" fontId="26" fillId="7" borderId="3" xfId="0" applyNumberFormat="1" applyFont="1" applyFill="1" applyBorder="1" applyAlignment="1">
      <alignment horizontal="center" vertical="center"/>
    </xf>
    <xf numFmtId="0" fontId="26" fillId="0" borderId="0" xfId="0" applyFont="1"/>
    <xf numFmtId="0" fontId="27" fillId="7" borderId="5" xfId="0" applyFont="1" applyFill="1" applyBorder="1" applyAlignment="1">
      <alignment wrapText="1"/>
    </xf>
    <xf numFmtId="0" fontId="26" fillId="7" borderId="5" xfId="0" applyFont="1" applyFill="1" applyBorder="1" applyAlignment="1">
      <alignment vertical="center"/>
    </xf>
    <xf numFmtId="0" fontId="26" fillId="7" borderId="6" xfId="0" applyFont="1" applyFill="1" applyBorder="1" applyAlignment="1">
      <alignment horizontal="center"/>
    </xf>
    <xf numFmtId="0" fontId="26" fillId="7" borderId="5" xfId="0" applyFont="1" applyFill="1" applyBorder="1" applyAlignment="1">
      <alignment horizontal="center"/>
    </xf>
    <xf numFmtId="0" fontId="27" fillId="7" borderId="8" xfId="0" applyFont="1" applyFill="1" applyBorder="1" applyAlignment="1">
      <alignment wrapText="1"/>
    </xf>
    <xf numFmtId="0" fontId="26" fillId="7" borderId="8" xfId="0" applyFont="1" applyFill="1" applyBorder="1" applyAlignment="1">
      <alignment horizontal="center"/>
    </xf>
    <xf numFmtId="0" fontId="26" fillId="7" borderId="9" xfId="0" applyFont="1" applyFill="1" applyBorder="1" applyAlignment="1">
      <alignment horizontal="center"/>
    </xf>
    <xf numFmtId="14" fontId="26" fillId="7" borderId="2" xfId="3" applyNumberFormat="1" applyFont="1" applyFill="1" applyBorder="1" applyAlignment="1">
      <alignment horizontal="center" vertical="center"/>
    </xf>
    <xf numFmtId="9" fontId="26" fillId="7" borderId="2" xfId="2" applyFont="1" applyFill="1" applyBorder="1" applyAlignment="1">
      <alignment horizontal="center" vertical="center"/>
    </xf>
    <xf numFmtId="168" fontId="27" fillId="7" borderId="2" xfId="1" applyNumberFormat="1" applyFont="1" applyFill="1" applyBorder="1" applyAlignment="1">
      <alignment horizontal="center" vertical="center" wrapText="1"/>
    </xf>
    <xf numFmtId="4" fontId="27" fillId="7" borderId="2" xfId="0" applyNumberFormat="1" applyFont="1" applyFill="1" applyBorder="1" applyAlignment="1">
      <alignment horizontal="center" vertical="center" wrapText="1"/>
    </xf>
    <xf numFmtId="0" fontId="26" fillId="7" borderId="2" xfId="0" applyFont="1" applyFill="1" applyBorder="1" applyAlignment="1">
      <alignment horizontal="left" vertical="center" wrapText="1"/>
    </xf>
    <xf numFmtId="14" fontId="26" fillId="7" borderId="5" xfId="3" applyNumberFormat="1" applyFont="1" applyFill="1" applyBorder="1" applyAlignment="1">
      <alignment horizontal="center" vertical="center"/>
    </xf>
    <xf numFmtId="9" fontId="26" fillId="7" borderId="5" xfId="2" applyFont="1" applyFill="1" applyBorder="1" applyAlignment="1">
      <alignment horizontal="center" vertical="center"/>
    </xf>
    <xf numFmtId="0" fontId="26" fillId="7" borderId="5" xfId="3" applyFont="1" applyFill="1" applyBorder="1" applyAlignment="1">
      <alignment horizontal="center" vertical="center"/>
    </xf>
    <xf numFmtId="168" fontId="26" fillId="7" borderId="5" xfId="1" applyNumberFormat="1" applyFont="1" applyFill="1" applyBorder="1" applyAlignment="1">
      <alignment horizontal="center" vertical="center"/>
    </xf>
    <xf numFmtId="4" fontId="27" fillId="7" borderId="5" xfId="0" applyNumberFormat="1" applyFont="1" applyFill="1" applyBorder="1" applyAlignment="1">
      <alignment horizontal="center" vertical="center" wrapText="1"/>
    </xf>
    <xf numFmtId="0" fontId="26" fillId="7" borderId="5" xfId="0" applyFont="1" applyFill="1" applyBorder="1" applyAlignment="1">
      <alignment horizontal="left" vertical="center" wrapText="1"/>
    </xf>
    <xf numFmtId="0" fontId="26" fillId="7" borderId="5" xfId="0" applyFont="1" applyFill="1" applyBorder="1" applyAlignment="1">
      <alignment horizontal="center" vertical="center"/>
    </xf>
    <xf numFmtId="14" fontId="26" fillId="7" borderId="8" xfId="3" applyNumberFormat="1" applyFont="1" applyFill="1" applyBorder="1" applyAlignment="1">
      <alignment horizontal="center" vertical="center"/>
    </xf>
    <xf numFmtId="9" fontId="26" fillId="7" borderId="8" xfId="2" applyFont="1" applyFill="1" applyBorder="1" applyAlignment="1">
      <alignment horizontal="center" vertical="center"/>
    </xf>
    <xf numFmtId="0" fontId="26" fillId="7" borderId="8" xfId="3" applyFont="1" applyFill="1" applyBorder="1" applyAlignment="1">
      <alignment horizontal="center" vertical="center"/>
    </xf>
    <xf numFmtId="168" fontId="26" fillId="7" borderId="8" xfId="1" applyNumberFormat="1" applyFont="1" applyFill="1" applyBorder="1" applyAlignment="1">
      <alignment horizontal="center" vertical="center"/>
    </xf>
    <xf numFmtId="4" fontId="27" fillId="7" borderId="8" xfId="0" applyNumberFormat="1" applyFont="1" applyFill="1" applyBorder="1" applyAlignment="1">
      <alignment horizontal="center" vertical="center" wrapText="1"/>
    </xf>
    <xf numFmtId="0" fontId="26" fillId="7" borderId="8" xfId="0" applyFont="1" applyFill="1" applyBorder="1" applyAlignment="1">
      <alignment horizontal="center" vertical="center"/>
    </xf>
    <xf numFmtId="0" fontId="16" fillId="0" borderId="8" xfId="3" applyFont="1" applyBorder="1" applyAlignment="1">
      <alignment horizontal="center" vertical="center" wrapText="1"/>
    </xf>
    <xf numFmtId="0" fontId="9" fillId="0" borderId="0" xfId="3" applyFont="1" applyFill="1" applyBorder="1" applyAlignment="1">
      <alignment horizontal="left" vertical="center"/>
    </xf>
    <xf numFmtId="0" fontId="20" fillId="0" borderId="5" xfId="3" applyFont="1" applyBorder="1" applyAlignment="1">
      <alignment horizontal="center" vertical="center" wrapText="1"/>
    </xf>
    <xf numFmtId="0" fontId="6" fillId="0" borderId="0" xfId="3" applyFont="1" applyAlignment="1">
      <alignment horizontal="center" vertical="center"/>
    </xf>
    <xf numFmtId="0" fontId="9" fillId="0" borderId="0" xfId="3" applyFont="1" applyBorder="1" applyAlignment="1">
      <alignment horizontal="left" vertical="center"/>
    </xf>
    <xf numFmtId="0" fontId="26" fillId="0" borderId="0" xfId="3" applyFont="1" applyBorder="1" applyAlignment="1">
      <alignment horizontal="left" vertical="center" wrapText="1"/>
    </xf>
    <xf numFmtId="14" fontId="26" fillId="0" borderId="2" xfId="3" applyNumberFormat="1" applyFont="1" applyBorder="1" applyAlignment="1">
      <alignment horizontal="center" vertical="center" wrapText="1"/>
    </xf>
    <xf numFmtId="9" fontId="26" fillId="7" borderId="2" xfId="2" applyFont="1" applyFill="1" applyBorder="1" applyAlignment="1">
      <alignment horizontal="center" vertical="center" wrapText="1"/>
    </xf>
    <xf numFmtId="4" fontId="26" fillId="0" borderId="2" xfId="3" applyNumberFormat="1" applyFont="1" applyBorder="1" applyAlignment="1">
      <alignment horizontal="center" vertical="center" wrapText="1"/>
    </xf>
    <xf numFmtId="4" fontId="26" fillId="0" borderId="5" xfId="3" applyNumberFormat="1" applyFont="1" applyBorder="1" applyAlignment="1">
      <alignment horizontal="center" vertical="center" wrapText="1"/>
    </xf>
    <xf numFmtId="0" fontId="27" fillId="7" borderId="2" xfId="0" applyFont="1" applyFill="1" applyBorder="1" applyAlignment="1">
      <alignment vertical="center" wrapText="1"/>
    </xf>
    <xf numFmtId="0" fontId="28" fillId="7" borderId="6" xfId="0" applyFont="1" applyFill="1" applyBorder="1" applyAlignment="1">
      <alignment horizontal="center"/>
    </xf>
    <xf numFmtId="0" fontId="28" fillId="7" borderId="9" xfId="0" applyFont="1" applyFill="1" applyBorder="1" applyAlignment="1">
      <alignment horizontal="center" wrapText="1"/>
    </xf>
    <xf numFmtId="0" fontId="6" fillId="0" borderId="0" xfId="3" applyFont="1" applyAlignment="1">
      <alignment horizontal="center" vertical="center"/>
    </xf>
    <xf numFmtId="0" fontId="26" fillId="0" borderId="0" xfId="3" applyFont="1" applyBorder="1" applyAlignment="1">
      <alignment horizontal="left" vertical="center" wrapText="1"/>
    </xf>
    <xf numFmtId="0" fontId="9" fillId="0" borderId="0" xfId="3" applyFont="1" applyBorder="1" applyAlignment="1">
      <alignment vertical="center"/>
    </xf>
    <xf numFmtId="0" fontId="0" fillId="0" borderId="0" xfId="0" applyBorder="1" applyAlignment="1"/>
    <xf numFmtId="9" fontId="27" fillId="7" borderId="8" xfId="2" applyFont="1" applyFill="1" applyBorder="1" applyAlignment="1">
      <alignment horizontal="center" vertical="center" wrapText="1"/>
    </xf>
    <xf numFmtId="9" fontId="27" fillId="7" borderId="5" xfId="2" applyFont="1" applyFill="1" applyBorder="1" applyAlignment="1">
      <alignment horizontal="center" vertical="center" wrapText="1"/>
    </xf>
    <xf numFmtId="4" fontId="26" fillId="7" borderId="3" xfId="0" applyNumberFormat="1" applyFont="1" applyFill="1" applyBorder="1" applyAlignment="1">
      <alignment horizontal="center" vertical="center" wrapText="1"/>
    </xf>
    <xf numFmtId="4" fontId="26" fillId="7" borderId="3" xfId="0" applyNumberFormat="1" applyFont="1" applyFill="1" applyBorder="1" applyAlignment="1">
      <alignment horizontal="left" vertical="center" wrapText="1"/>
    </xf>
    <xf numFmtId="0" fontId="26" fillId="0" borderId="0" xfId="0" applyFont="1" applyAlignment="1">
      <alignment vertical="center"/>
    </xf>
    <xf numFmtId="0" fontId="26" fillId="7" borderId="6" xfId="0" applyFont="1" applyFill="1" applyBorder="1" applyAlignment="1">
      <alignment horizontal="center" vertical="center"/>
    </xf>
    <xf numFmtId="0" fontId="27" fillId="7" borderId="8" xfId="0" applyFont="1" applyFill="1" applyBorder="1" applyAlignment="1">
      <alignment vertical="center" wrapText="1"/>
    </xf>
    <xf numFmtId="0" fontId="26" fillId="7" borderId="9" xfId="0" applyFont="1" applyFill="1" applyBorder="1" applyAlignment="1">
      <alignment horizontal="center" vertical="center"/>
    </xf>
    <xf numFmtId="0" fontId="29" fillId="7" borderId="5" xfId="0" applyFont="1" applyFill="1" applyBorder="1" applyAlignment="1">
      <alignment vertical="center" wrapText="1"/>
    </xf>
    <xf numFmtId="0" fontId="26" fillId="7" borderId="5" xfId="0" applyFont="1" applyFill="1" applyBorder="1" applyAlignment="1">
      <alignment vertical="center" wrapText="1"/>
    </xf>
    <xf numFmtId="4" fontId="26" fillId="7" borderId="5" xfId="0" applyNumberFormat="1" applyFont="1" applyFill="1" applyBorder="1" applyAlignment="1">
      <alignment vertical="center"/>
    </xf>
    <xf numFmtId="0" fontId="26" fillId="7" borderId="8" xfId="0" applyFont="1" applyFill="1" applyBorder="1" applyAlignment="1">
      <alignment vertical="center" wrapText="1"/>
    </xf>
    <xf numFmtId="0" fontId="8" fillId="2" borderId="40" xfId="3" applyFont="1" applyFill="1" applyBorder="1" applyAlignment="1">
      <alignment horizontal="center" vertical="center" wrapText="1"/>
    </xf>
    <xf numFmtId="0" fontId="26" fillId="0" borderId="6" xfId="0" applyFont="1" applyBorder="1" applyAlignment="1">
      <alignment horizontal="left" vertical="center" wrapText="1"/>
    </xf>
    <xf numFmtId="0" fontId="26" fillId="7" borderId="6" xfId="0" applyFont="1" applyFill="1" applyBorder="1" applyAlignment="1">
      <alignment horizontal="center" wrapText="1"/>
    </xf>
    <xf numFmtId="0" fontId="26" fillId="7" borderId="6" xfId="0" applyFont="1" applyFill="1" applyBorder="1" applyAlignment="1">
      <alignment horizontal="center" vertical="center" wrapText="1"/>
    </xf>
    <xf numFmtId="4" fontId="26" fillId="7" borderId="2" xfId="0" applyNumberFormat="1" applyFont="1" applyFill="1" applyBorder="1" applyAlignment="1">
      <alignment horizontal="left" vertical="center" wrapText="1"/>
    </xf>
    <xf numFmtId="0" fontId="28" fillId="0" borderId="5" xfId="3" applyFont="1" applyBorder="1" applyAlignment="1">
      <alignment horizontal="justify" vertical="center" wrapText="1"/>
    </xf>
    <xf numFmtId="0" fontId="26" fillId="0" borderId="2" xfId="3" applyFont="1" applyBorder="1" applyAlignment="1">
      <alignment horizontal="justify" vertical="center" wrapText="1"/>
    </xf>
    <xf numFmtId="0" fontId="26" fillId="0" borderId="2" xfId="3" applyFont="1" applyBorder="1" applyAlignment="1">
      <alignment horizontal="center" vertical="center" wrapText="1"/>
    </xf>
    <xf numFmtId="0" fontId="29" fillId="7" borderId="8" xfId="0" applyFont="1" applyFill="1" applyBorder="1" applyAlignment="1">
      <alignment vertical="center" wrapText="1"/>
    </xf>
    <xf numFmtId="0" fontId="9" fillId="7" borderId="0" xfId="3" applyFont="1" applyFill="1" applyBorder="1" applyAlignment="1">
      <alignment horizontal="left" vertical="center"/>
    </xf>
    <xf numFmtId="0" fontId="0" fillId="7" borderId="0" xfId="0" applyFill="1"/>
    <xf numFmtId="0" fontId="10" fillId="7" borderId="0" xfId="0" applyFont="1" applyFill="1" applyBorder="1" applyAlignment="1">
      <alignment horizontal="center"/>
    </xf>
    <xf numFmtId="0" fontId="14" fillId="7" borderId="0" xfId="0" applyFont="1" applyFill="1" applyBorder="1" applyAlignment="1">
      <alignment horizontal="center" vertical="center"/>
    </xf>
    <xf numFmtId="4" fontId="28" fillId="7" borderId="3" xfId="0" applyNumberFormat="1" applyFont="1" applyFill="1" applyBorder="1" applyAlignment="1">
      <alignment vertical="center" wrapText="1"/>
    </xf>
    <xf numFmtId="4" fontId="28" fillId="7" borderId="6" xfId="0" applyNumberFormat="1" applyFont="1" applyFill="1" applyBorder="1" applyAlignment="1">
      <alignment vertical="center" wrapText="1"/>
    </xf>
    <xf numFmtId="0" fontId="0" fillId="0" borderId="0" xfId="0" applyAlignment="1">
      <alignment vertical="center"/>
    </xf>
    <xf numFmtId="0" fontId="4" fillId="0" borderId="0" xfId="0" applyFont="1" applyAlignment="1">
      <alignment vertical="center"/>
    </xf>
    <xf numFmtId="0" fontId="10" fillId="6" borderId="4"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31" xfId="0" applyFont="1" applyFill="1" applyBorder="1" applyAlignment="1">
      <alignment horizontal="center" vertical="center"/>
    </xf>
    <xf numFmtId="0" fontId="26" fillId="0" borderId="6" xfId="0" applyFont="1" applyBorder="1"/>
    <xf numFmtId="0" fontId="26" fillId="0" borderId="9" xfId="0" applyFont="1" applyBorder="1"/>
    <xf numFmtId="9" fontId="26" fillId="0" borderId="2" xfId="2" applyFont="1" applyBorder="1" applyAlignment="1">
      <alignment horizontal="center" vertical="center"/>
    </xf>
    <xf numFmtId="0" fontId="26" fillId="0" borderId="2" xfId="3" applyFont="1" applyBorder="1" applyAlignment="1">
      <alignment vertical="center"/>
    </xf>
    <xf numFmtId="0" fontId="26" fillId="0" borderId="6" xfId="0" applyFont="1" applyBorder="1" applyAlignment="1">
      <alignment wrapText="1"/>
    </xf>
    <xf numFmtId="0" fontId="9" fillId="2" borderId="22" xfId="3" applyFont="1" applyFill="1" applyBorder="1" applyAlignment="1">
      <alignment horizontal="center" vertical="center" wrapText="1"/>
    </xf>
    <xf numFmtId="0" fontId="9" fillId="2" borderId="36" xfId="3" applyFont="1" applyFill="1" applyBorder="1" applyAlignment="1">
      <alignment horizontal="center" vertical="center" wrapText="1"/>
    </xf>
    <xf numFmtId="0" fontId="26" fillId="2" borderId="21" xfId="3" applyFont="1" applyFill="1" applyBorder="1" applyAlignment="1">
      <alignment horizontal="center" vertical="center"/>
    </xf>
    <xf numFmtId="0" fontId="10" fillId="6" borderId="41" xfId="0" applyFont="1" applyFill="1" applyBorder="1" applyAlignment="1">
      <alignment horizontal="center" vertical="center"/>
    </xf>
    <xf numFmtId="0" fontId="9" fillId="0" borderId="0" xfId="3" applyFont="1" applyFill="1" applyBorder="1" applyAlignment="1">
      <alignment vertical="center" wrapText="1"/>
    </xf>
    <xf numFmtId="0" fontId="10" fillId="0" borderId="0" xfId="0" applyFont="1" applyFill="1" applyBorder="1" applyAlignment="1">
      <alignment horizontal="center" vertical="center"/>
    </xf>
    <xf numFmtId="9" fontId="26" fillId="0" borderId="2" xfId="2" applyFont="1" applyBorder="1" applyAlignment="1">
      <alignment horizontal="center" vertical="center" wrapText="1"/>
    </xf>
    <xf numFmtId="0" fontId="27" fillId="7" borderId="5" xfId="0" applyFont="1" applyFill="1" applyBorder="1" applyAlignment="1">
      <alignment vertical="top" wrapText="1"/>
    </xf>
    <xf numFmtId="4" fontId="26" fillId="0" borderId="5" xfId="0" applyNumberFormat="1" applyFont="1" applyBorder="1" applyAlignment="1">
      <alignment horizontal="center" vertical="center" wrapText="1"/>
    </xf>
    <xf numFmtId="4" fontId="26" fillId="0" borderId="8" xfId="0" applyNumberFormat="1" applyFont="1" applyBorder="1" applyAlignment="1">
      <alignment horizontal="center" vertical="center" wrapText="1"/>
    </xf>
    <xf numFmtId="0" fontId="28" fillId="0" borderId="5" xfId="3" applyFont="1" applyBorder="1" applyAlignment="1">
      <alignment horizontal="center" vertical="center" wrapText="1"/>
    </xf>
    <xf numFmtId="44" fontId="26" fillId="0" borderId="5" xfId="104" applyFont="1" applyBorder="1" applyAlignment="1">
      <alignment vertical="center"/>
    </xf>
    <xf numFmtId="44" fontId="26" fillId="0" borderId="8" xfId="104" applyFont="1" applyBorder="1" applyAlignment="1">
      <alignment vertical="center"/>
    </xf>
    <xf numFmtId="0" fontId="26" fillId="0" borderId="5" xfId="0" applyFont="1" applyBorder="1" applyAlignment="1">
      <alignment horizontal="center" vertical="center" wrapText="1"/>
    </xf>
    <xf numFmtId="0" fontId="26" fillId="0" borderId="8" xfId="0" applyFont="1" applyBorder="1" applyAlignment="1">
      <alignment horizontal="center" vertical="center"/>
    </xf>
    <xf numFmtId="0" fontId="26" fillId="0" borderId="5" xfId="0" applyFont="1" applyFill="1" applyBorder="1" applyAlignment="1">
      <alignment horizontal="center" vertical="center"/>
    </xf>
    <xf numFmtId="0" fontId="26" fillId="0" borderId="5" xfId="0" applyFont="1" applyFill="1" applyBorder="1" applyAlignment="1">
      <alignment horizontal="center" vertical="center" wrapText="1"/>
    </xf>
    <xf numFmtId="14" fontId="26" fillId="0" borderId="2" xfId="3" applyNumberFormat="1" applyFont="1" applyFill="1" applyBorder="1" applyAlignment="1">
      <alignment horizontal="center" vertical="center"/>
    </xf>
    <xf numFmtId="0" fontId="18" fillId="0" borderId="4" xfId="3" applyFont="1" applyBorder="1" applyAlignment="1">
      <alignment horizontal="center" vertical="center"/>
    </xf>
    <xf numFmtId="0" fontId="20" fillId="0" borderId="2" xfId="3" applyFont="1" applyBorder="1" applyAlignment="1">
      <alignment horizontal="center" vertical="center" wrapText="1"/>
    </xf>
    <xf numFmtId="0" fontId="31" fillId="6" borderId="25" xfId="0" applyFont="1" applyFill="1" applyBorder="1" applyAlignment="1">
      <alignment horizontal="center" wrapText="1"/>
    </xf>
    <xf numFmtId="43" fontId="26" fillId="0" borderId="2" xfId="1" applyNumberFormat="1" applyFont="1" applyBorder="1" applyAlignment="1">
      <alignment vertical="center"/>
    </xf>
    <xf numFmtId="0" fontId="26" fillId="0" borderId="6" xfId="0" applyFont="1" applyBorder="1" applyAlignment="1">
      <alignment vertical="center" wrapText="1"/>
    </xf>
    <xf numFmtId="0" fontId="29" fillId="7" borderId="2" xfId="0" applyFont="1" applyFill="1" applyBorder="1" applyAlignment="1">
      <alignment vertical="top" wrapText="1"/>
    </xf>
    <xf numFmtId="0" fontId="26" fillId="0" borderId="9" xfId="0" applyFont="1" applyBorder="1" applyAlignment="1">
      <alignment vertical="center" wrapText="1"/>
    </xf>
    <xf numFmtId="43" fontId="26" fillId="0" borderId="8" xfId="1" applyNumberFormat="1" applyFont="1" applyBorder="1" applyAlignment="1">
      <alignment vertical="center"/>
    </xf>
    <xf numFmtId="4" fontId="26" fillId="7" borderId="2" xfId="0" applyNumberFormat="1" applyFont="1" applyFill="1" applyBorder="1" applyAlignment="1">
      <alignment horizontal="center" vertical="center"/>
    </xf>
    <xf numFmtId="0" fontId="20" fillId="0" borderId="5" xfId="3" applyFont="1" applyFill="1" applyBorder="1" applyAlignment="1">
      <alignment horizontal="center" vertical="center" wrapText="1"/>
    </xf>
    <xf numFmtId="43" fontId="26" fillId="0" borderId="5" xfId="1" applyNumberFormat="1" applyFont="1" applyBorder="1" applyAlignment="1">
      <alignment vertical="center"/>
    </xf>
    <xf numFmtId="0" fontId="28" fillId="0" borderId="8" xfId="3" applyFont="1" applyBorder="1" applyAlignment="1">
      <alignment horizontal="center" vertical="center" wrapText="1"/>
    </xf>
    <xf numFmtId="0" fontId="26" fillId="0" borderId="5" xfId="3" applyFont="1" applyFill="1" applyBorder="1" applyAlignment="1">
      <alignment vertical="center"/>
    </xf>
    <xf numFmtId="4" fontId="27" fillId="0" borderId="2" xfId="0" applyNumberFormat="1" applyFont="1" applyFill="1" applyBorder="1" applyAlignment="1">
      <alignment horizontal="center" vertical="center" wrapText="1"/>
    </xf>
    <xf numFmtId="0" fontId="26" fillId="0" borderId="2" xfId="3" applyFont="1" applyFill="1" applyBorder="1" applyAlignment="1">
      <alignment vertical="center"/>
    </xf>
    <xf numFmtId="0" fontId="26" fillId="0" borderId="8" xfId="3" applyFont="1" applyFill="1" applyBorder="1" applyAlignment="1">
      <alignment horizontal="center" vertical="center"/>
    </xf>
    <xf numFmtId="0" fontId="34" fillId="7" borderId="2" xfId="0" applyFont="1" applyFill="1" applyBorder="1" applyAlignment="1">
      <alignment vertical="center" wrapText="1"/>
    </xf>
    <xf numFmtId="0" fontId="34" fillId="7" borderId="5" xfId="0" applyFont="1" applyFill="1" applyBorder="1" applyAlignment="1">
      <alignment vertical="center" wrapText="1"/>
    </xf>
    <xf numFmtId="0" fontId="34" fillId="7" borderId="8" xfId="0" applyFont="1" applyFill="1" applyBorder="1" applyAlignment="1">
      <alignment vertical="center" wrapText="1"/>
    </xf>
    <xf numFmtId="4" fontId="26" fillId="0" borderId="2" xfId="0" applyNumberFormat="1" applyFont="1" applyFill="1" applyBorder="1" applyAlignment="1">
      <alignment vertical="center"/>
    </xf>
    <xf numFmtId="0" fontId="26" fillId="0" borderId="3" xfId="0" applyFont="1" applyBorder="1" applyAlignment="1">
      <alignment horizontal="left" vertical="center" wrapText="1"/>
    </xf>
    <xf numFmtId="0" fontId="20" fillId="7" borderId="17" xfId="3" applyFont="1" applyFill="1" applyBorder="1" applyAlignment="1">
      <alignment horizontal="center" vertical="center"/>
    </xf>
    <xf numFmtId="0" fontId="20" fillId="7" borderId="41" xfId="3" applyFont="1" applyFill="1" applyBorder="1" applyAlignment="1">
      <alignment horizontal="center" vertical="center"/>
    </xf>
    <xf numFmtId="0" fontId="18" fillId="0" borderId="20" xfId="3" applyFont="1" applyFill="1" applyBorder="1" applyAlignment="1">
      <alignment horizontal="left" vertical="center" wrapText="1"/>
    </xf>
    <xf numFmtId="0" fontId="18" fillId="0" borderId="15" xfId="3" applyFont="1" applyFill="1" applyBorder="1" applyAlignment="1">
      <alignment horizontal="left" vertical="center" wrapText="1"/>
    </xf>
    <xf numFmtId="0" fontId="18" fillId="0" borderId="14" xfId="3" applyFont="1" applyFill="1" applyBorder="1" applyAlignment="1">
      <alignment horizontal="left" vertical="center" wrapText="1"/>
    </xf>
    <xf numFmtId="0" fontId="20" fillId="0" borderId="2" xfId="3" applyFont="1" applyBorder="1" applyAlignment="1">
      <alignment horizontal="center" vertical="center"/>
    </xf>
    <xf numFmtId="0" fontId="20" fillId="0" borderId="5" xfId="3" applyFont="1" applyBorder="1" applyAlignment="1">
      <alignment horizontal="center" vertical="center"/>
    </xf>
    <xf numFmtId="0" fontId="9" fillId="0" borderId="5" xfId="3" applyFont="1" applyBorder="1" applyAlignment="1">
      <alignment horizontal="center" vertical="center" wrapText="1"/>
    </xf>
    <xf numFmtId="0" fontId="9" fillId="0" borderId="8" xfId="3" applyFont="1" applyBorder="1" applyAlignment="1">
      <alignment horizontal="center" vertical="center" wrapText="1"/>
    </xf>
    <xf numFmtId="0" fontId="9" fillId="0" borderId="2" xfId="3" applyFont="1" applyBorder="1" applyAlignment="1">
      <alignment horizontal="center" vertical="center" wrapText="1"/>
    </xf>
    <xf numFmtId="0" fontId="20" fillId="7" borderId="2" xfId="3" applyFont="1" applyFill="1" applyBorder="1" applyAlignment="1">
      <alignment horizontal="center" vertical="center"/>
    </xf>
    <xf numFmtId="0" fontId="26" fillId="0" borderId="5"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5" xfId="3" applyFont="1" applyBorder="1" applyAlignment="1">
      <alignment horizontal="center" vertical="center"/>
    </xf>
    <xf numFmtId="0" fontId="26" fillId="0" borderId="8" xfId="3" applyFont="1" applyBorder="1" applyAlignment="1">
      <alignment horizontal="center" vertical="center"/>
    </xf>
    <xf numFmtId="14" fontId="26" fillId="7" borderId="2" xfId="3" applyNumberFormat="1" applyFont="1" applyFill="1" applyBorder="1" applyAlignment="1">
      <alignment horizontal="center" vertical="center"/>
    </xf>
    <xf numFmtId="168" fontId="27" fillId="7" borderId="2" xfId="1" applyNumberFormat="1" applyFont="1" applyFill="1" applyBorder="1" applyAlignment="1">
      <alignment horizontal="center" vertical="center" wrapText="1"/>
    </xf>
    <xf numFmtId="14" fontId="26" fillId="7" borderId="5" xfId="3" applyNumberFormat="1" applyFont="1" applyFill="1" applyBorder="1" applyAlignment="1">
      <alignment horizontal="center" vertical="center"/>
    </xf>
    <xf numFmtId="168" fontId="26" fillId="7" borderId="5" xfId="1" applyNumberFormat="1" applyFont="1" applyFill="1" applyBorder="1" applyAlignment="1">
      <alignment horizontal="center" vertical="center"/>
    </xf>
    <xf numFmtId="14" fontId="26" fillId="7" borderId="8" xfId="3" applyNumberFormat="1" applyFont="1" applyFill="1" applyBorder="1" applyAlignment="1">
      <alignment horizontal="center" vertical="center"/>
    </xf>
    <xf numFmtId="168" fontId="26" fillId="7" borderId="8" xfId="1" applyNumberFormat="1" applyFont="1" applyFill="1" applyBorder="1" applyAlignment="1">
      <alignment horizontal="center" vertical="center"/>
    </xf>
    <xf numFmtId="0" fontId="9" fillId="0" borderId="1" xfId="3" applyFont="1" applyBorder="1" applyAlignment="1">
      <alignment horizontal="center" vertical="center"/>
    </xf>
    <xf numFmtId="0" fontId="9" fillId="0" borderId="4" xfId="3" applyFont="1" applyBorder="1" applyAlignment="1">
      <alignment horizontal="center" vertical="center"/>
    </xf>
    <xf numFmtId="168" fontId="27" fillId="7" borderId="5" xfId="1" applyNumberFormat="1" applyFont="1" applyFill="1" applyBorder="1" applyAlignment="1">
      <alignment horizontal="center" vertical="center" wrapText="1"/>
    </xf>
    <xf numFmtId="0" fontId="26" fillId="0" borderId="5" xfId="3" applyFont="1" applyBorder="1" applyAlignment="1">
      <alignment vertical="center"/>
    </xf>
    <xf numFmtId="0" fontId="9" fillId="0" borderId="7" xfId="3" applyFont="1" applyBorder="1" applyAlignment="1">
      <alignment horizontal="center" vertical="center"/>
    </xf>
    <xf numFmtId="168" fontId="27" fillId="7" borderId="8" xfId="1" applyNumberFormat="1" applyFont="1" applyFill="1" applyBorder="1" applyAlignment="1">
      <alignment horizontal="center" vertical="center" wrapText="1"/>
    </xf>
    <xf numFmtId="0" fontId="26" fillId="0" borderId="8" xfId="3" applyFont="1" applyBorder="1" applyAlignment="1">
      <alignment vertical="center"/>
    </xf>
    <xf numFmtId="0" fontId="26" fillId="0" borderId="2" xfId="3" applyFont="1" applyBorder="1" applyAlignment="1">
      <alignment horizontal="center" vertical="center"/>
    </xf>
    <xf numFmtId="0" fontId="10" fillId="6" borderId="5"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34" xfId="0" applyFont="1" applyFill="1" applyBorder="1" applyAlignment="1">
      <alignment horizontal="center" vertical="center"/>
    </xf>
    <xf numFmtId="0" fontId="10" fillId="6" borderId="1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Fill="1" applyBorder="1" applyAlignment="1">
      <alignment horizontal="center" vertical="center" wrapText="1"/>
    </xf>
    <xf numFmtId="9" fontId="26" fillId="0" borderId="5" xfId="2" applyFont="1" applyBorder="1" applyAlignment="1">
      <alignment horizontal="center" vertical="center"/>
    </xf>
    <xf numFmtId="0" fontId="26" fillId="0" borderId="8" xfId="0" applyFont="1" applyFill="1" applyBorder="1" applyAlignment="1">
      <alignment horizontal="center" vertical="center"/>
    </xf>
    <xf numFmtId="9" fontId="26" fillId="0" borderId="8" xfId="2" applyFont="1" applyBorder="1" applyAlignment="1">
      <alignment horizontal="center" vertical="center"/>
    </xf>
    <xf numFmtId="0" fontId="26" fillId="0" borderId="8" xfId="0" applyFont="1" applyFill="1" applyBorder="1" applyAlignment="1">
      <alignment horizontal="center" vertical="center" wrapText="1"/>
    </xf>
    <xf numFmtId="44" fontId="26" fillId="0" borderId="2" xfId="104" applyFont="1" applyBorder="1" applyAlignment="1">
      <alignment vertical="center"/>
    </xf>
    <xf numFmtId="0" fontId="26" fillId="0" borderId="2" xfId="0" applyFont="1" applyBorder="1" applyAlignment="1">
      <alignment horizontal="center" vertical="center" wrapText="1"/>
    </xf>
    <xf numFmtId="0" fontId="26" fillId="0" borderId="1" xfId="0" applyFont="1" applyBorder="1"/>
    <xf numFmtId="0" fontId="9" fillId="0" borderId="2" xfId="3" applyFont="1" applyBorder="1" applyAlignment="1">
      <alignment horizontal="center" vertical="center"/>
    </xf>
    <xf numFmtId="0" fontId="28" fillId="0" borderId="2" xfId="3" applyFont="1" applyBorder="1" applyAlignment="1">
      <alignment horizontal="center" vertical="center" wrapText="1"/>
    </xf>
    <xf numFmtId="4" fontId="26" fillId="0" borderId="2" xfId="0" applyNumberFormat="1" applyFont="1" applyBorder="1" applyAlignment="1">
      <alignment horizontal="center" vertical="center" wrapText="1"/>
    </xf>
    <xf numFmtId="9" fontId="26" fillId="0" borderId="2" xfId="3" applyNumberFormat="1" applyFont="1" applyBorder="1" applyAlignment="1">
      <alignment horizontal="center" vertical="center" wrapText="1"/>
    </xf>
    <xf numFmtId="0" fontId="26" fillId="0" borderId="4" xfId="0" applyFont="1" applyBorder="1"/>
    <xf numFmtId="0" fontId="9" fillId="0" borderId="5" xfId="3" applyFont="1" applyBorder="1" applyAlignment="1">
      <alignment horizontal="center" vertical="center"/>
    </xf>
    <xf numFmtId="0" fontId="26" fillId="0" borderId="7" xfId="0" applyFont="1" applyBorder="1"/>
    <xf numFmtId="0" fontId="9" fillId="0" borderId="8" xfId="3" applyFont="1" applyBorder="1" applyAlignment="1">
      <alignment horizontal="center" vertical="center"/>
    </xf>
    <xf numFmtId="0" fontId="26" fillId="0" borderId="3" xfId="0" applyFont="1" applyBorder="1" applyAlignment="1">
      <alignment vertical="center" wrapText="1"/>
    </xf>
    <xf numFmtId="0" fontId="10" fillId="6" borderId="17" xfId="0" applyFont="1" applyFill="1" applyBorder="1" applyAlignment="1">
      <alignment horizontal="center" vertical="center"/>
    </xf>
    <xf numFmtId="0" fontId="35" fillId="0" borderId="8" xfId="3" applyFont="1" applyBorder="1" applyAlignment="1">
      <alignment horizontal="center" vertical="center" wrapText="1"/>
    </xf>
    <xf numFmtId="0" fontId="20" fillId="0" borderId="20" xfId="3" applyFont="1" applyFill="1" applyBorder="1" applyAlignment="1">
      <alignment horizontal="center" vertical="center" wrapText="1"/>
    </xf>
    <xf numFmtId="0" fontId="20" fillId="0" borderId="15" xfId="3" applyFont="1" applyFill="1" applyBorder="1" applyAlignment="1">
      <alignment horizontal="center" vertical="center" wrapText="1"/>
    </xf>
    <xf numFmtId="0" fontId="15" fillId="0" borderId="3" xfId="3" applyFont="1" applyBorder="1" applyAlignment="1">
      <alignment horizontal="left" vertical="center" wrapText="1"/>
    </xf>
    <xf numFmtId="0" fontId="15" fillId="0" borderId="35" xfId="3" applyFont="1" applyBorder="1" applyAlignment="1">
      <alignment horizontal="left" vertical="center" wrapText="1"/>
    </xf>
    <xf numFmtId="0" fontId="15" fillId="0" borderId="9" xfId="3" applyFont="1" applyBorder="1" applyAlignment="1">
      <alignment horizontal="left" vertical="center"/>
    </xf>
    <xf numFmtId="169" fontId="20" fillId="7" borderId="2" xfId="1" applyNumberFormat="1" applyFont="1" applyFill="1" applyBorder="1" applyAlignment="1">
      <alignment horizontal="center" vertical="center"/>
    </xf>
    <xf numFmtId="169" fontId="20" fillId="7" borderId="5" xfId="1" applyNumberFormat="1" applyFont="1" applyFill="1" applyBorder="1" applyAlignment="1">
      <alignment horizontal="center" vertical="center"/>
    </xf>
    <xf numFmtId="169" fontId="20" fillId="7" borderId="8" xfId="1" applyNumberFormat="1" applyFont="1" applyFill="1" applyBorder="1" applyAlignment="1">
      <alignment horizontal="center" vertical="center"/>
    </xf>
    <xf numFmtId="0" fontId="36" fillId="0" borderId="6" xfId="3" applyFont="1" applyBorder="1" applyAlignment="1">
      <alignment horizontal="left" vertical="center" wrapText="1"/>
    </xf>
    <xf numFmtId="0" fontId="36" fillId="0" borderId="9" xfId="3" applyFont="1" applyBorder="1" applyAlignment="1">
      <alignment horizontal="left" vertical="center" wrapText="1"/>
    </xf>
    <xf numFmtId="4" fontId="27" fillId="8" borderId="2" xfId="0" applyNumberFormat="1" applyFont="1" applyFill="1" applyBorder="1" applyAlignment="1">
      <alignment horizontal="center" vertical="center" wrapText="1"/>
    </xf>
    <xf numFmtId="4" fontId="26" fillId="8" borderId="3" xfId="0" applyNumberFormat="1" applyFont="1" applyFill="1" applyBorder="1" applyAlignment="1">
      <alignment horizontal="left" vertical="center" wrapText="1"/>
    </xf>
    <xf numFmtId="4" fontId="27" fillId="8" borderId="8" xfId="0" applyNumberFormat="1" applyFont="1" applyFill="1" applyBorder="1" applyAlignment="1">
      <alignment horizontal="center" vertical="center" wrapText="1"/>
    </xf>
    <xf numFmtId="0" fontId="26" fillId="8" borderId="9" xfId="0" applyFont="1" applyFill="1" applyBorder="1" applyAlignment="1">
      <alignment vertical="center" wrapText="1"/>
    </xf>
    <xf numFmtId="0" fontId="20" fillId="8" borderId="17" xfId="3" applyFont="1" applyFill="1" applyBorder="1" applyAlignment="1">
      <alignment horizontal="center" vertical="center"/>
    </xf>
    <xf numFmtId="0" fontId="20" fillId="8" borderId="16" xfId="3" applyFont="1" applyFill="1" applyBorder="1" applyAlignment="1">
      <alignment horizontal="center" vertical="center"/>
    </xf>
    <xf numFmtId="0" fontId="26" fillId="0" borderId="2" xfId="3" applyFont="1" applyBorder="1" applyAlignment="1">
      <alignment horizontal="center" vertical="center"/>
    </xf>
    <xf numFmtId="0" fontId="26" fillId="0" borderId="5" xfId="3" applyFont="1" applyBorder="1" applyAlignment="1">
      <alignment horizontal="center" vertical="center"/>
    </xf>
    <xf numFmtId="0" fontId="26" fillId="8" borderId="6" xfId="0" applyFont="1" applyFill="1" applyBorder="1" applyAlignment="1">
      <alignment horizontal="left" vertical="center" wrapText="1"/>
    </xf>
    <xf numFmtId="0" fontId="9" fillId="2" borderId="49" xfId="3" applyFont="1" applyFill="1" applyBorder="1" applyAlignment="1">
      <alignment horizontal="center" vertical="center" wrapText="1"/>
    </xf>
    <xf numFmtId="4" fontId="27" fillId="8" borderId="18" xfId="0" applyNumberFormat="1" applyFont="1" applyFill="1" applyBorder="1" applyAlignment="1">
      <alignment horizontal="center" vertical="center" wrapText="1"/>
    </xf>
    <xf numFmtId="0" fontId="15" fillId="0" borderId="6" xfId="3" applyFont="1" applyBorder="1" applyAlignment="1">
      <alignment horizontal="left" vertical="center" wrapText="1"/>
    </xf>
    <xf numFmtId="0" fontId="4" fillId="0" borderId="0" xfId="0" applyFont="1" applyAlignment="1">
      <alignment horizontal="left"/>
    </xf>
    <xf numFmtId="168" fontId="8" fillId="6" borderId="28" xfId="3" applyNumberFormat="1" applyFont="1" applyFill="1" applyBorder="1" applyAlignment="1">
      <alignment horizontal="center" vertical="center"/>
    </xf>
    <xf numFmtId="168" fontId="8" fillId="6" borderId="16" xfId="3" applyNumberFormat="1" applyFont="1" applyFill="1" applyBorder="1" applyAlignment="1">
      <alignment horizontal="center" vertical="center"/>
    </xf>
    <xf numFmtId="0" fontId="9" fillId="6" borderId="27" xfId="3" applyFont="1" applyFill="1" applyBorder="1" applyAlignment="1">
      <alignment horizontal="left" vertical="center" wrapText="1"/>
    </xf>
    <xf numFmtId="0" fontId="9" fillId="6" borderId="25" xfId="3" applyFont="1" applyFill="1" applyBorder="1" applyAlignment="1">
      <alignment horizontal="left" vertical="center" wrapText="1"/>
    </xf>
    <xf numFmtId="0" fontId="9" fillId="6" borderId="26" xfId="3" applyFont="1" applyFill="1" applyBorder="1" applyAlignment="1">
      <alignment horizontal="left" vertical="center" wrapText="1"/>
    </xf>
    <xf numFmtId="0" fontId="14" fillId="6" borderId="19" xfId="0" applyFont="1" applyFill="1" applyBorder="1" applyAlignment="1">
      <alignment horizontal="center" vertical="center"/>
    </xf>
    <xf numFmtId="0" fontId="14" fillId="6" borderId="25" xfId="0" applyFont="1" applyFill="1" applyBorder="1" applyAlignment="1">
      <alignment horizontal="center" vertical="center"/>
    </xf>
    <xf numFmtId="0" fontId="14" fillId="6" borderId="26" xfId="0" applyFont="1" applyFill="1" applyBorder="1" applyAlignment="1">
      <alignment horizontal="center" vertical="center"/>
    </xf>
    <xf numFmtId="0" fontId="14" fillId="6" borderId="15" xfId="0" applyFont="1" applyFill="1" applyBorder="1" applyAlignment="1">
      <alignment horizontal="center" vertical="center"/>
    </xf>
    <xf numFmtId="0" fontId="14" fillId="6" borderId="23" xfId="0" applyFont="1" applyFill="1" applyBorder="1" applyAlignment="1">
      <alignment horizontal="center" vertical="center"/>
    </xf>
    <xf numFmtId="0" fontId="14" fillId="6" borderId="24" xfId="0" applyFont="1" applyFill="1" applyBorder="1" applyAlignment="1">
      <alignment horizontal="center" vertical="center"/>
    </xf>
    <xf numFmtId="0" fontId="9" fillId="0" borderId="0" xfId="3" applyFont="1" applyBorder="1" applyAlignment="1">
      <alignment horizontal="left" vertical="center" wrapText="1"/>
    </xf>
    <xf numFmtId="0" fontId="9" fillId="0" borderId="39" xfId="3" applyFont="1" applyBorder="1" applyAlignment="1">
      <alignment horizontal="left" vertical="center" wrapText="1"/>
    </xf>
    <xf numFmtId="0" fontId="6" fillId="0" borderId="0" xfId="3" applyFont="1" applyAlignment="1">
      <alignment horizontal="center" vertical="center"/>
    </xf>
    <xf numFmtId="0" fontId="9" fillId="6" borderId="13" xfId="3" applyFont="1" applyFill="1" applyBorder="1" applyAlignment="1">
      <alignment horizontal="left" vertical="center" wrapText="1"/>
    </xf>
    <xf numFmtId="0" fontId="9" fillId="6" borderId="28" xfId="3" applyFont="1" applyFill="1" applyBorder="1" applyAlignment="1">
      <alignment horizontal="left" vertical="center" wrapText="1"/>
    </xf>
    <xf numFmtId="0" fontId="26" fillId="0" borderId="0" xfId="3" applyFont="1" applyBorder="1" applyAlignment="1">
      <alignment horizontal="left" vertical="center" wrapText="1"/>
    </xf>
    <xf numFmtId="4" fontId="26" fillId="7" borderId="5" xfId="0" applyNumberFormat="1" applyFont="1" applyFill="1" applyBorder="1" applyAlignment="1">
      <alignment horizontal="center" vertical="center"/>
    </xf>
    <xf numFmtId="0" fontId="26" fillId="7" borderId="2"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5" fillId="0" borderId="0" xfId="3" applyFont="1" applyAlignment="1">
      <alignment horizontal="left" vertical="center"/>
    </xf>
    <xf numFmtId="0" fontId="5" fillId="0" borderId="0" xfId="3" applyFont="1" applyAlignment="1">
      <alignment horizontal="center" vertical="center" wrapText="1"/>
    </xf>
    <xf numFmtId="0" fontId="5" fillId="0" borderId="0" xfId="0" applyFont="1" applyFill="1" applyAlignment="1">
      <alignment horizontal="center" vertical="center"/>
    </xf>
    <xf numFmtId="44" fontId="23" fillId="5" borderId="5" xfId="104" applyFont="1" applyFill="1" applyBorder="1" applyAlignment="1">
      <alignment vertical="center"/>
    </xf>
    <xf numFmtId="0" fontId="6" fillId="5" borderId="29" xfId="3" applyFont="1" applyFill="1" applyBorder="1" applyAlignment="1">
      <alignment horizontal="center" vertical="center"/>
    </xf>
    <xf numFmtId="0" fontId="6" fillId="5" borderId="37" xfId="3" applyFont="1" applyFill="1" applyBorder="1" applyAlignment="1">
      <alignment horizontal="center" vertical="center"/>
    </xf>
    <xf numFmtId="0" fontId="6" fillId="5" borderId="30" xfId="3" applyFont="1" applyFill="1" applyBorder="1" applyAlignment="1">
      <alignment horizontal="center" vertical="center"/>
    </xf>
    <xf numFmtId="0" fontId="6" fillId="5" borderId="20" xfId="3" applyFont="1" applyFill="1" applyBorder="1" applyAlignment="1">
      <alignment horizontal="center" vertical="center"/>
    </xf>
    <xf numFmtId="0" fontId="6" fillId="5" borderId="38" xfId="3" applyFont="1" applyFill="1" applyBorder="1" applyAlignment="1">
      <alignment horizontal="center" vertical="center"/>
    </xf>
    <xf numFmtId="0" fontId="6" fillId="5" borderId="17" xfId="3" applyFont="1" applyFill="1" applyBorder="1" applyAlignment="1">
      <alignment horizontal="center" vertical="center"/>
    </xf>
    <xf numFmtId="0" fontId="0" fillId="0" borderId="0" xfId="0" applyAlignment="1">
      <alignment horizontal="left"/>
    </xf>
    <xf numFmtId="4" fontId="26" fillId="7" borderId="2" xfId="0" applyNumberFormat="1" applyFont="1" applyFill="1" applyBorder="1" applyAlignment="1">
      <alignment horizontal="center" vertical="center"/>
    </xf>
    <xf numFmtId="0" fontId="10" fillId="0" borderId="1"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8" xfId="3" applyFont="1" applyBorder="1" applyAlignment="1">
      <alignment horizontal="center" vertical="center" wrapText="1"/>
    </xf>
    <xf numFmtId="0" fontId="14" fillId="0" borderId="0" xfId="3" applyFont="1" applyAlignment="1">
      <alignment horizontal="center" vertical="center"/>
    </xf>
    <xf numFmtId="0" fontId="14" fillId="0" borderId="0" xfId="3" applyFont="1" applyAlignment="1">
      <alignment horizontal="center" vertical="center" wrapText="1"/>
    </xf>
    <xf numFmtId="0" fontId="4" fillId="0" borderId="0" xfId="3" applyAlignment="1">
      <alignment horizontal="center" vertical="center"/>
    </xf>
    <xf numFmtId="0" fontId="10" fillId="0" borderId="0" xfId="3" applyFont="1" applyAlignment="1">
      <alignment horizontal="center"/>
    </xf>
    <xf numFmtId="0" fontId="16" fillId="0" borderId="32" xfId="3" applyFont="1" applyBorder="1" applyAlignment="1">
      <alignment horizontal="center" vertical="center"/>
    </xf>
    <xf numFmtId="0" fontId="16" fillId="0" borderId="33" xfId="3" applyFont="1" applyBorder="1" applyAlignment="1">
      <alignment horizontal="center" vertical="center"/>
    </xf>
    <xf numFmtId="0" fontId="4" fillId="0" borderId="0" xfId="0" applyFont="1" applyAlignment="1">
      <alignment horizontal="left" vertical="center"/>
    </xf>
    <xf numFmtId="0" fontId="14" fillId="6" borderId="20"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43" xfId="0" applyFont="1" applyFill="1" applyBorder="1" applyAlignment="1">
      <alignment horizontal="center" vertical="center"/>
    </xf>
    <xf numFmtId="0" fontId="26" fillId="0" borderId="2" xfId="3" applyFont="1" applyBorder="1" applyAlignment="1">
      <alignment horizontal="center" vertical="center"/>
    </xf>
    <xf numFmtId="0" fontId="26" fillId="0" borderId="5" xfId="3" applyFont="1" applyBorder="1" applyAlignment="1">
      <alignment horizontal="center" vertical="center"/>
    </xf>
    <xf numFmtId="0" fontId="26" fillId="0" borderId="8" xfId="3" applyFont="1" applyBorder="1" applyAlignment="1">
      <alignment horizontal="center" vertical="center"/>
    </xf>
    <xf numFmtId="0" fontId="10" fillId="0" borderId="0" xfId="0" applyFont="1" applyAlignment="1">
      <alignment horizontal="left" vertical="center" wrapText="1"/>
    </xf>
    <xf numFmtId="0" fontId="4" fillId="0" borderId="0" xfId="0" applyFont="1" applyAlignment="1">
      <alignment horizontal="left" vertical="center" wrapText="1"/>
    </xf>
    <xf numFmtId="43" fontId="26" fillId="0" borderId="5" xfId="1" applyNumberFormat="1" applyFont="1" applyBorder="1" applyAlignment="1">
      <alignment horizontal="center" vertical="center"/>
    </xf>
    <xf numFmtId="43" fontId="26" fillId="0" borderId="8" xfId="1" applyNumberFormat="1" applyFont="1" applyBorder="1" applyAlignment="1">
      <alignment horizontal="center" vertical="center"/>
    </xf>
    <xf numFmtId="0" fontId="10" fillId="6" borderId="44" xfId="0" applyFont="1" applyFill="1" applyBorder="1" applyAlignment="1">
      <alignment horizontal="left" vertical="center" wrapText="1"/>
    </xf>
    <xf numFmtId="0" fontId="10" fillId="6" borderId="45" xfId="0" applyFont="1" applyFill="1" applyBorder="1" applyAlignment="1">
      <alignment horizontal="left" vertical="center" wrapText="1"/>
    </xf>
    <xf numFmtId="0" fontId="10" fillId="6" borderId="36" xfId="0" applyFont="1" applyFill="1" applyBorder="1" applyAlignment="1">
      <alignment horizontal="left" vertical="center" wrapText="1"/>
    </xf>
    <xf numFmtId="0" fontId="10" fillId="6" borderId="46" xfId="0" applyFont="1" applyFill="1" applyBorder="1" applyAlignment="1">
      <alignment horizontal="left" vertical="center" wrapText="1"/>
    </xf>
    <xf numFmtId="0" fontId="10" fillId="6" borderId="47" xfId="0" applyFont="1" applyFill="1" applyBorder="1" applyAlignment="1">
      <alignment horizontal="left" vertical="center" wrapText="1"/>
    </xf>
    <xf numFmtId="0" fontId="10" fillId="6" borderId="48" xfId="0" applyFont="1" applyFill="1" applyBorder="1" applyAlignment="1">
      <alignment horizontal="left" vertical="center" wrapText="1"/>
    </xf>
    <xf numFmtId="0" fontId="5" fillId="0" borderId="0" xfId="3" applyFont="1" applyFill="1" applyAlignment="1">
      <alignment horizontal="center" vertical="center"/>
    </xf>
    <xf numFmtId="0" fontId="6" fillId="0" borderId="0" xfId="3" applyFont="1" applyBorder="1" applyAlignment="1">
      <alignment horizontal="center" vertical="center"/>
    </xf>
    <xf numFmtId="0" fontId="9" fillId="6" borderId="13" xfId="3" applyFont="1" applyFill="1" applyBorder="1" applyAlignment="1">
      <alignment horizontal="center" vertical="center" wrapText="1"/>
    </xf>
    <xf numFmtId="0" fontId="9" fillId="6" borderId="28" xfId="3" applyFont="1" applyFill="1" applyBorder="1" applyAlignment="1">
      <alignment horizontal="center" vertical="center" wrapText="1"/>
    </xf>
    <xf numFmtId="0" fontId="9" fillId="6" borderId="42" xfId="3" applyFont="1" applyFill="1" applyBorder="1" applyAlignment="1">
      <alignment horizontal="center" vertical="center" wrapText="1"/>
    </xf>
    <xf numFmtId="43" fontId="26" fillId="0" borderId="2" xfId="1" applyNumberFormat="1" applyFont="1" applyBorder="1" applyAlignment="1">
      <alignment horizontal="center" vertical="center"/>
    </xf>
    <xf numFmtId="0" fontId="14" fillId="6" borderId="18"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0" fillId="0" borderId="3" xfId="3" applyFont="1" applyBorder="1" applyAlignment="1">
      <alignment horizontal="center" vertical="center" wrapText="1"/>
    </xf>
    <xf numFmtId="0" fontId="10" fillId="0" borderId="9" xfId="3" applyFont="1" applyBorder="1" applyAlignment="1">
      <alignment horizontal="center" vertical="center" wrapText="1"/>
    </xf>
    <xf numFmtId="0" fontId="10" fillId="0" borderId="14" xfId="3" applyFont="1" applyBorder="1" applyAlignment="1">
      <alignment horizontal="center" vertical="center" wrapText="1"/>
    </xf>
    <xf numFmtId="0" fontId="10" fillId="0" borderId="28" xfId="3" applyFont="1" applyBorder="1" applyAlignment="1">
      <alignment horizontal="center" vertical="center" wrapText="1"/>
    </xf>
    <xf numFmtId="0" fontId="10" fillId="0" borderId="16" xfId="3" applyFont="1" applyBorder="1" applyAlignment="1">
      <alignment horizontal="center" vertical="center" wrapText="1"/>
    </xf>
  </cellXfs>
  <cellStyles count="149">
    <cellStyle name="Comma 2" xfId="4"/>
    <cellStyle name="Euro" xfId="15"/>
    <cellStyle name="Millares" xfId="1" builtinId="3"/>
    <cellStyle name="Millares 10 2" xfId="17"/>
    <cellStyle name="Millares 10 3" xfId="18"/>
    <cellStyle name="Millares 10 4" xfId="19"/>
    <cellStyle name="Millares 10 5" xfId="20"/>
    <cellStyle name="Millares 10 6" xfId="21"/>
    <cellStyle name="Millares 10 7" xfId="22"/>
    <cellStyle name="Millares 11 2" xfId="23"/>
    <cellStyle name="Millares 11 3" xfId="24"/>
    <cellStyle name="Millares 11 4" xfId="25"/>
    <cellStyle name="Millares 14 2" xfId="26"/>
    <cellStyle name="Millares 14 3" xfId="27"/>
    <cellStyle name="Millares 14 4" xfId="28"/>
    <cellStyle name="Millares 14 5" xfId="29"/>
    <cellStyle name="Millares 14 6" xfId="30"/>
    <cellStyle name="Millares 14 7" xfId="31"/>
    <cellStyle name="Millares 2" xfId="5"/>
    <cellStyle name="Millares 2 2" xfId="32"/>
    <cellStyle name="Millares 3" xfId="6"/>
    <cellStyle name="Millares 3 2" xfId="33"/>
    <cellStyle name="Millares 4" xfId="34"/>
    <cellStyle name="Millares 5" xfId="16"/>
    <cellStyle name="Millares 6 10" xfId="35"/>
    <cellStyle name="Millares 6 11" xfId="36"/>
    <cellStyle name="Millares 6 2" xfId="37"/>
    <cellStyle name="Millares 6 3" xfId="38"/>
    <cellStyle name="Millares 6 4" xfId="39"/>
    <cellStyle name="Millares 6 5" xfId="40"/>
    <cellStyle name="Millares 6 6" xfId="41"/>
    <cellStyle name="Millares 6 7" xfId="42"/>
    <cellStyle name="Millares 6 8" xfId="43"/>
    <cellStyle name="Millares 6 9" xfId="44"/>
    <cellStyle name="Millares 7 2" xfId="45"/>
    <cellStyle name="Millares 7 3" xfId="46"/>
    <cellStyle name="Millares 7 4" xfId="47"/>
    <cellStyle name="Moneda" xfId="104" builtinId="4"/>
    <cellStyle name="Moneda 2" xfId="7"/>
    <cellStyle name="Moneda 2 2" xfId="49"/>
    <cellStyle name="Moneda 3" xfId="8"/>
    <cellStyle name="Moneda 4" xfId="9"/>
    <cellStyle name="Moneda 5" xfId="48"/>
    <cellStyle name="Moneda 6" xfId="100"/>
    <cellStyle name="Moneda 7" xfId="101"/>
    <cellStyle name="Moneda 7 2" xfId="145"/>
    <cellStyle name="Moneda 8" xfId="148"/>
    <cellStyle name="Normal" xfId="0" builtinId="0"/>
    <cellStyle name="Normal 2" xfId="3"/>
    <cellStyle name="Normal 2 2" xfId="50"/>
    <cellStyle name="Normal 2 3" xfId="51"/>
    <cellStyle name="Normal 2_Kresidual" xfId="52"/>
    <cellStyle name="Normal 3" xfId="10"/>
    <cellStyle name="Normal 3 2" xfId="54"/>
    <cellStyle name="Normal 3 3" xfId="53"/>
    <cellStyle name="Normal 3 4" xfId="103"/>
    <cellStyle name="Normal 3 4 2" xfId="147"/>
    <cellStyle name="Normal 3 5" xfId="106"/>
    <cellStyle name="Normal 4" xfId="11"/>
    <cellStyle name="Normal 4 10" xfId="56"/>
    <cellStyle name="Normal 4 10 2" xfId="109"/>
    <cellStyle name="Normal 4 11" xfId="57"/>
    <cellStyle name="Normal 4 11 2" xfId="110"/>
    <cellStyle name="Normal 4 12" xfId="58"/>
    <cellStyle name="Normal 4 12 2" xfId="111"/>
    <cellStyle name="Normal 4 13" xfId="59"/>
    <cellStyle name="Normal 4 13 2" xfId="112"/>
    <cellStyle name="Normal 4 14" xfId="60"/>
    <cellStyle name="Normal 4 14 2" xfId="113"/>
    <cellStyle name="Normal 4 15" xfId="61"/>
    <cellStyle name="Normal 4 15 2" xfId="114"/>
    <cellStyle name="Normal 4 16" xfId="62"/>
    <cellStyle name="Normal 4 16 2" xfId="115"/>
    <cellStyle name="Normal 4 17" xfId="63"/>
    <cellStyle name="Normal 4 17 2" xfId="116"/>
    <cellStyle name="Normal 4 18" xfId="64"/>
    <cellStyle name="Normal 4 18 2" xfId="117"/>
    <cellStyle name="Normal 4 19" xfId="65"/>
    <cellStyle name="Normal 4 19 2" xfId="118"/>
    <cellStyle name="Normal 4 2" xfId="66"/>
    <cellStyle name="Normal 4 20" xfId="67"/>
    <cellStyle name="Normal 4 20 2" xfId="119"/>
    <cellStyle name="Normal 4 21" xfId="68"/>
    <cellStyle name="Normal 4 21 2" xfId="120"/>
    <cellStyle name="Normal 4 22" xfId="69"/>
    <cellStyle name="Normal 4 22 2" xfId="121"/>
    <cellStyle name="Normal 4 23" xfId="70"/>
    <cellStyle name="Normal 4 23 2" xfId="122"/>
    <cellStyle name="Normal 4 24" xfId="71"/>
    <cellStyle name="Normal 4 24 2" xfId="123"/>
    <cellStyle name="Normal 4 25" xfId="72"/>
    <cellStyle name="Normal 4 25 2" xfId="124"/>
    <cellStyle name="Normal 4 26" xfId="73"/>
    <cellStyle name="Normal 4 26 2" xfId="125"/>
    <cellStyle name="Normal 4 27" xfId="74"/>
    <cellStyle name="Normal 4 27 2" xfId="126"/>
    <cellStyle name="Normal 4 28" xfId="75"/>
    <cellStyle name="Normal 4 28 2" xfId="127"/>
    <cellStyle name="Normal 4 29" xfId="76"/>
    <cellStyle name="Normal 4 29 2" xfId="128"/>
    <cellStyle name="Normal 4 3" xfId="77"/>
    <cellStyle name="Normal 4 3 2" xfId="129"/>
    <cellStyle name="Normal 4 30" xfId="78"/>
    <cellStyle name="Normal 4 30 2" xfId="130"/>
    <cellStyle name="Normal 4 31" xfId="79"/>
    <cellStyle name="Normal 4 31 2" xfId="131"/>
    <cellStyle name="Normal 4 32" xfId="80"/>
    <cellStyle name="Normal 4 32 2" xfId="132"/>
    <cellStyle name="Normal 4 33" xfId="81"/>
    <cellStyle name="Normal 4 33 2" xfId="133"/>
    <cellStyle name="Normal 4 34" xfId="82"/>
    <cellStyle name="Normal 4 34 2" xfId="134"/>
    <cellStyle name="Normal 4 35" xfId="83"/>
    <cellStyle name="Normal 4 35 2" xfId="135"/>
    <cellStyle name="Normal 4 36" xfId="84"/>
    <cellStyle name="Normal 4 36 2" xfId="136"/>
    <cellStyle name="Normal 4 37" xfId="85"/>
    <cellStyle name="Normal 4 37 2" xfId="137"/>
    <cellStyle name="Normal 4 38" xfId="86"/>
    <cellStyle name="Normal 4 38 2" xfId="138"/>
    <cellStyle name="Normal 4 39" xfId="55"/>
    <cellStyle name="Normal 4 39 2" xfId="108"/>
    <cellStyle name="Normal 4 4" xfId="87"/>
    <cellStyle name="Normal 4 4 2" xfId="139"/>
    <cellStyle name="Normal 4 40" xfId="107"/>
    <cellStyle name="Normal 4 5" xfId="88"/>
    <cellStyle name="Normal 4 5 2" xfId="140"/>
    <cellStyle name="Normal 4 6" xfId="89"/>
    <cellStyle name="Normal 4 6 2" xfId="141"/>
    <cellStyle name="Normal 4 7" xfId="90"/>
    <cellStyle name="Normal 4 7 2" xfId="142"/>
    <cellStyle name="Normal 4 8" xfId="91"/>
    <cellStyle name="Normal 4 8 2" xfId="143"/>
    <cellStyle name="Normal 4 9" xfId="92"/>
    <cellStyle name="Normal 4 9 2" xfId="144"/>
    <cellStyle name="Normal 5" xfId="14"/>
    <cellStyle name="Notas 2" xfId="94"/>
    <cellStyle name="Notas 3" xfId="93"/>
    <cellStyle name="Porcentaje" xfId="2" builtinId="5"/>
    <cellStyle name="Porcentaje 2" xfId="95"/>
    <cellStyle name="Porcentaje 3" xfId="96"/>
    <cellStyle name="Porcentaje 4" xfId="102"/>
    <cellStyle name="Porcentaje 4 2" xfId="146"/>
    <cellStyle name="Porcentaje 5" xfId="105"/>
    <cellStyle name="Porcentual 2" xfId="12"/>
    <cellStyle name="Porcentual 3" xfId="13"/>
    <cellStyle name="Porcentual 3 2" xfId="98"/>
    <cellStyle name="Porcentual 3 3" xfId="97"/>
    <cellStyle name="Salida 2"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
  <sheetViews>
    <sheetView showGridLines="0" view="pageBreakPreview" topLeftCell="A13" zoomScale="75" zoomScaleNormal="55" zoomScaleSheetLayoutView="75" zoomScalePageLayoutView="40" workbookViewId="0">
      <selection activeCell="V12" sqref="V12"/>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8" t="s">
        <v>52</v>
      </c>
      <c r="C1" s="298"/>
      <c r="D1" s="298"/>
      <c r="E1" s="298"/>
      <c r="F1" s="298"/>
      <c r="G1" s="298"/>
      <c r="H1" s="298"/>
      <c r="I1" s="298"/>
      <c r="J1" s="298"/>
      <c r="K1" s="298"/>
      <c r="L1" s="298"/>
      <c r="M1" s="298"/>
      <c r="N1" s="298"/>
      <c r="O1" s="298"/>
      <c r="P1" s="298"/>
      <c r="Q1" s="298"/>
      <c r="R1" s="298"/>
    </row>
    <row r="2" spans="2:18" ht="59.25" customHeight="1" x14ac:dyDescent="0.2">
      <c r="B2" s="298" t="s">
        <v>53</v>
      </c>
      <c r="C2" s="298"/>
      <c r="D2" s="298"/>
      <c r="E2" s="298"/>
      <c r="F2" s="298"/>
      <c r="G2" s="298"/>
      <c r="H2" s="298"/>
      <c r="I2" s="298"/>
      <c r="J2" s="298"/>
      <c r="K2" s="298"/>
      <c r="L2" s="298"/>
      <c r="M2" s="298"/>
      <c r="N2" s="298"/>
      <c r="O2" s="298"/>
      <c r="P2" s="298"/>
      <c r="Q2" s="298"/>
      <c r="R2" s="298"/>
    </row>
    <row r="3" spans="2:18" ht="18.75" x14ac:dyDescent="0.2">
      <c r="B3" s="299" t="s">
        <v>11</v>
      </c>
      <c r="C3" s="299"/>
      <c r="D3" s="299"/>
      <c r="E3" s="299"/>
      <c r="F3" s="299"/>
      <c r="G3" s="299"/>
      <c r="H3" s="299"/>
      <c r="I3" s="299"/>
      <c r="J3" s="299"/>
      <c r="K3" s="299"/>
      <c r="L3" s="299"/>
      <c r="M3" s="299"/>
      <c r="N3" s="299"/>
      <c r="O3" s="299"/>
      <c r="P3" s="299"/>
      <c r="Q3" s="299"/>
      <c r="R3" s="299"/>
    </row>
    <row r="4" spans="2:18" ht="18.75" x14ac:dyDescent="0.2">
      <c r="B4" s="299" t="s">
        <v>0</v>
      </c>
      <c r="C4" s="299"/>
      <c r="D4" s="299"/>
      <c r="E4" s="299"/>
      <c r="F4" s="299"/>
      <c r="G4" s="299"/>
      <c r="H4" s="299"/>
      <c r="I4" s="299"/>
      <c r="J4" s="299"/>
      <c r="K4" s="299"/>
      <c r="L4" s="299"/>
      <c r="M4" s="299"/>
      <c r="N4" s="299"/>
      <c r="O4" s="299"/>
      <c r="P4" s="299"/>
      <c r="Q4" s="299"/>
      <c r="R4" s="299"/>
    </row>
    <row r="5" spans="2:18" ht="17.25" x14ac:dyDescent="0.3">
      <c r="B5" s="1"/>
      <c r="C5" s="10"/>
      <c r="D5" s="1"/>
      <c r="E5" s="1"/>
      <c r="F5" s="1"/>
      <c r="G5" s="1"/>
      <c r="H5" s="1"/>
      <c r="I5" s="1"/>
      <c r="J5" s="1"/>
      <c r="K5" s="48"/>
      <c r="L5" s="1"/>
      <c r="M5" s="110"/>
      <c r="N5" s="76"/>
      <c r="O5" s="110"/>
      <c r="R5" s="36">
        <v>589500</v>
      </c>
    </row>
    <row r="6" spans="2:18" ht="18.75" x14ac:dyDescent="0.2">
      <c r="B6" s="60" t="s">
        <v>9</v>
      </c>
      <c r="C6" s="60"/>
      <c r="D6" s="61" t="s">
        <v>58</v>
      </c>
      <c r="E6" s="59"/>
      <c r="F6" s="59"/>
      <c r="G6" s="59"/>
      <c r="H6" s="59"/>
      <c r="I6" s="31"/>
      <c r="J6" s="31"/>
      <c r="K6" s="31"/>
      <c r="L6" s="31"/>
      <c r="M6" s="31"/>
      <c r="N6" s="31"/>
      <c r="O6" s="31"/>
      <c r="P6" s="31"/>
    </row>
    <row r="7" spans="2:18" ht="18.75" x14ac:dyDescent="0.2">
      <c r="B7" s="297"/>
      <c r="C7" s="297"/>
      <c r="D7" s="297"/>
      <c r="E7" s="31"/>
      <c r="F7" s="31"/>
      <c r="G7" s="31"/>
      <c r="H7" s="31"/>
      <c r="I7" s="31"/>
      <c r="J7" s="31"/>
      <c r="K7" s="31"/>
      <c r="L7" s="301" t="s">
        <v>36</v>
      </c>
      <c r="M7" s="302"/>
      <c r="N7" s="302"/>
      <c r="O7" s="302"/>
      <c r="P7" s="303"/>
      <c r="Q7" s="300">
        <v>384914198</v>
      </c>
      <c r="R7" s="300"/>
    </row>
    <row r="8" spans="2:18" ht="15.75" x14ac:dyDescent="0.25">
      <c r="B8" s="2"/>
      <c r="C8" s="25"/>
      <c r="D8" s="2"/>
      <c r="E8" s="2"/>
      <c r="F8" s="2"/>
      <c r="G8" s="2"/>
      <c r="H8" s="2"/>
      <c r="I8" s="2"/>
      <c r="J8" s="2"/>
      <c r="K8" s="49"/>
      <c r="L8" s="304"/>
      <c r="M8" s="305"/>
      <c r="N8" s="305"/>
      <c r="O8" s="305"/>
      <c r="P8" s="306"/>
      <c r="Q8" s="35">
        <f>ROUND(Q7/R5,0)</f>
        <v>653</v>
      </c>
      <c r="R8" s="34" t="s">
        <v>37</v>
      </c>
    </row>
    <row r="9" spans="2:18" ht="15.75" x14ac:dyDescent="0.2">
      <c r="B9" s="289" t="s">
        <v>35</v>
      </c>
      <c r="C9" s="289"/>
      <c r="D9" s="289"/>
      <c r="E9" s="289"/>
      <c r="F9" s="289"/>
      <c r="G9" s="289"/>
      <c r="H9" s="289"/>
      <c r="I9" s="289"/>
      <c r="J9" s="289"/>
      <c r="K9" s="289"/>
      <c r="L9" s="289"/>
      <c r="M9" s="289"/>
      <c r="N9" s="289"/>
      <c r="O9" s="289"/>
      <c r="P9" s="289"/>
      <c r="Q9" s="289"/>
      <c r="R9" s="289"/>
    </row>
    <row r="10" spans="2:18" ht="16.5" thickBot="1" x14ac:dyDescent="0.25">
      <c r="B10" s="28"/>
      <c r="C10" s="28"/>
      <c r="D10" s="28"/>
      <c r="E10" s="28"/>
      <c r="F10" s="28"/>
      <c r="G10" s="28"/>
      <c r="H10" s="28"/>
      <c r="I10" s="28"/>
      <c r="J10" s="28"/>
      <c r="K10" s="49"/>
      <c r="L10" s="28"/>
      <c r="M10" s="56"/>
      <c r="N10" s="56"/>
      <c r="O10" s="56"/>
    </row>
    <row r="11" spans="2:18" ht="81" customHeight="1" thickBot="1" x14ac:dyDescent="0.25">
      <c r="B11" s="29"/>
      <c r="C11" s="30" t="s">
        <v>27</v>
      </c>
      <c r="D11" s="30" t="s">
        <v>1</v>
      </c>
      <c r="E11" s="30" t="s">
        <v>2</v>
      </c>
      <c r="F11" s="30" t="s">
        <v>3</v>
      </c>
      <c r="G11" s="30" t="s">
        <v>153</v>
      </c>
      <c r="H11" s="30" t="s">
        <v>4</v>
      </c>
      <c r="I11" s="30" t="s">
        <v>5</v>
      </c>
      <c r="J11" s="30" t="s">
        <v>6</v>
      </c>
      <c r="K11" s="30" t="s">
        <v>44</v>
      </c>
      <c r="L11" s="30" t="s">
        <v>7</v>
      </c>
      <c r="M11" s="30" t="s">
        <v>152</v>
      </c>
      <c r="N11" s="30" t="s">
        <v>156</v>
      </c>
      <c r="O11" s="30" t="s">
        <v>20</v>
      </c>
      <c r="P11" s="30" t="s">
        <v>21</v>
      </c>
      <c r="Q11" s="30" t="s">
        <v>149</v>
      </c>
      <c r="R11" s="30" t="s">
        <v>38</v>
      </c>
    </row>
    <row r="12" spans="2:18" s="128" customFormat="1" ht="109.5" customHeight="1" x14ac:dyDescent="0.2">
      <c r="B12" s="62">
        <v>1</v>
      </c>
      <c r="C12" s="52" t="s">
        <v>58</v>
      </c>
      <c r="D12" s="117" t="s">
        <v>59</v>
      </c>
      <c r="E12" s="89">
        <v>38534</v>
      </c>
      <c r="F12" s="89">
        <v>38625</v>
      </c>
      <c r="G12" s="90">
        <v>1</v>
      </c>
      <c r="H12" s="90" t="s">
        <v>10</v>
      </c>
      <c r="I12" s="52" t="s">
        <v>60</v>
      </c>
      <c r="J12" s="91">
        <v>360690000</v>
      </c>
      <c r="K12" s="91">
        <f>+J12*N12</f>
        <v>0</v>
      </c>
      <c r="L12" s="92">
        <f>K12/381500</f>
        <v>0</v>
      </c>
      <c r="M12" s="92" t="str">
        <f>IF((F12-E12)&gt;120,"CUMPLE","NO CUMPLE")</f>
        <v>NO CUMPLE</v>
      </c>
      <c r="N12" s="92">
        <v>0</v>
      </c>
      <c r="O12" s="192"/>
      <c r="P12" s="294" t="s">
        <v>150</v>
      </c>
      <c r="Q12" s="198"/>
      <c r="R12" s="127" t="s">
        <v>165</v>
      </c>
    </row>
    <row r="13" spans="2:18" s="128" customFormat="1" ht="48" customHeight="1" x14ac:dyDescent="0.2">
      <c r="B13" s="63">
        <v>2</v>
      </c>
      <c r="C13" s="53" t="s">
        <v>58</v>
      </c>
      <c r="D13" s="77" t="s">
        <v>61</v>
      </c>
      <c r="E13" s="94">
        <v>41271</v>
      </c>
      <c r="F13" s="94">
        <v>41439</v>
      </c>
      <c r="G13" s="95">
        <v>1</v>
      </c>
      <c r="H13" s="96" t="s">
        <v>10</v>
      </c>
      <c r="I13" s="53" t="s">
        <v>62</v>
      </c>
      <c r="J13" s="97">
        <v>478341789</v>
      </c>
      <c r="K13" s="97">
        <f>+J13*N13</f>
        <v>478341789</v>
      </c>
      <c r="L13" s="98">
        <f>K13/566700</f>
        <v>844.08291688724194</v>
      </c>
      <c r="M13" s="98" t="str">
        <f>IF((F13-E13)&gt;120,"CUMPLE")</f>
        <v>CUMPLE</v>
      </c>
      <c r="N13" s="98" t="str">
        <f>IF(G13&gt;=30%,"100%")</f>
        <v>100%</v>
      </c>
      <c r="O13" s="98" t="s">
        <v>151</v>
      </c>
      <c r="P13" s="295"/>
      <c r="Q13" s="293">
        <f>+L13+L14</f>
        <v>1229.3187457063102</v>
      </c>
      <c r="R13" s="129"/>
    </row>
    <row r="14" spans="2:18" s="128" customFormat="1" ht="89.25" customHeight="1" x14ac:dyDescent="0.2">
      <c r="B14" s="63">
        <v>3</v>
      </c>
      <c r="C14" s="53" t="s">
        <v>58</v>
      </c>
      <c r="D14" s="77" t="s">
        <v>63</v>
      </c>
      <c r="E14" s="94">
        <v>39532</v>
      </c>
      <c r="F14" s="94">
        <v>39987</v>
      </c>
      <c r="G14" s="95">
        <v>1</v>
      </c>
      <c r="H14" s="96" t="s">
        <v>10</v>
      </c>
      <c r="I14" s="53" t="s">
        <v>64</v>
      </c>
      <c r="J14" s="97">
        <v>177786335</v>
      </c>
      <c r="K14" s="97">
        <f t="shared" ref="K14:K15" si="0">+J14*N14</f>
        <v>177786335</v>
      </c>
      <c r="L14" s="98">
        <f>K14/461500</f>
        <v>385.23582881906827</v>
      </c>
      <c r="M14" s="98" t="str">
        <f t="shared" ref="M14:M15" si="1">IF((F14-E14)&gt;120,"CUMPLE")</f>
        <v>CUMPLE</v>
      </c>
      <c r="N14" s="98" t="str">
        <f>IF(G14&gt;=30%,"100%")</f>
        <v>100%</v>
      </c>
      <c r="O14" s="98"/>
      <c r="P14" s="295"/>
      <c r="Q14" s="293"/>
      <c r="R14" s="129"/>
    </row>
    <row r="15" spans="2:18" s="128" customFormat="1" ht="40.5" customHeight="1" thickBot="1" x14ac:dyDescent="0.25">
      <c r="B15" s="64">
        <v>4</v>
      </c>
      <c r="C15" s="65" t="s">
        <v>58</v>
      </c>
      <c r="D15" s="130" t="s">
        <v>65</v>
      </c>
      <c r="E15" s="101">
        <v>40975</v>
      </c>
      <c r="F15" s="101">
        <v>41203</v>
      </c>
      <c r="G15" s="102">
        <v>0.25</v>
      </c>
      <c r="H15" s="103" t="s">
        <v>10</v>
      </c>
      <c r="I15" s="65" t="s">
        <v>66</v>
      </c>
      <c r="J15" s="104">
        <v>1021802240</v>
      </c>
      <c r="K15" s="104">
        <f t="shared" si="0"/>
        <v>255450560</v>
      </c>
      <c r="L15" s="105">
        <f>+K15/566700</f>
        <v>450.76859008293627</v>
      </c>
      <c r="M15" s="105" t="str">
        <f t="shared" si="1"/>
        <v>CUMPLE</v>
      </c>
      <c r="N15" s="124">
        <f>IF(G15&gt;=30%,"100%",G15)</f>
        <v>0.25</v>
      </c>
      <c r="O15" s="105"/>
      <c r="P15" s="296"/>
      <c r="Q15" s="106"/>
      <c r="R15" s="131"/>
    </row>
    <row r="16" spans="2:18" ht="15.75" customHeight="1" x14ac:dyDescent="0.2">
      <c r="B16" s="112"/>
      <c r="C16" s="112"/>
      <c r="D16" s="112"/>
      <c r="E16" s="112"/>
      <c r="F16" s="112"/>
      <c r="G16" s="112"/>
      <c r="H16" s="26"/>
      <c r="I16" s="27"/>
    </row>
    <row r="17" spans="2:17" ht="15.75" customHeight="1" x14ac:dyDescent="0.2">
      <c r="B17" s="122" t="s">
        <v>195</v>
      </c>
      <c r="C17" s="122"/>
      <c r="D17" s="122"/>
      <c r="E17" s="122"/>
      <c r="F17" s="122"/>
      <c r="G17" s="122"/>
      <c r="H17" s="26"/>
      <c r="I17" s="26"/>
    </row>
    <row r="18" spans="2:17" ht="45.75" customHeight="1" thickBot="1" x14ac:dyDescent="0.25">
      <c r="B18" s="292" t="s">
        <v>193</v>
      </c>
      <c r="C18" s="292"/>
      <c r="D18" s="292"/>
      <c r="E18" s="292"/>
      <c r="F18" s="292"/>
      <c r="G18" s="292"/>
      <c r="H18" s="292"/>
      <c r="I18" s="292"/>
    </row>
    <row r="19" spans="2:17" s="3" customFormat="1" ht="21.75" customHeight="1" x14ac:dyDescent="0.2">
      <c r="B19" s="122" t="s">
        <v>54</v>
      </c>
      <c r="C19" s="122"/>
      <c r="D19" s="122"/>
      <c r="E19" s="122"/>
      <c r="F19" s="122"/>
      <c r="G19" s="122"/>
      <c r="H19" s="122"/>
      <c r="I19" s="123"/>
      <c r="J19" s="290" t="s">
        <v>33</v>
      </c>
      <c r="K19" s="291"/>
      <c r="L19" s="276">
        <f>SUM(K12:K15)</f>
        <v>911578684</v>
      </c>
      <c r="M19" s="276"/>
      <c r="N19" s="276"/>
      <c r="O19" s="276"/>
      <c r="P19" s="277"/>
      <c r="Q19" s="37">
        <f>SUM(L12:L15)</f>
        <v>1680.0873357892465</v>
      </c>
    </row>
    <row r="20" spans="2:17" ht="24.75" customHeight="1" x14ac:dyDescent="0.2">
      <c r="B20" s="287" t="s">
        <v>155</v>
      </c>
      <c r="C20" s="287"/>
      <c r="D20" s="287"/>
      <c r="E20" s="287"/>
      <c r="F20" s="287"/>
      <c r="G20" s="287"/>
      <c r="H20" s="287"/>
      <c r="I20" s="288"/>
      <c r="J20" s="278" t="s">
        <v>12</v>
      </c>
      <c r="K20" s="279"/>
      <c r="L20" s="279"/>
      <c r="M20" s="279"/>
      <c r="N20" s="279"/>
      <c r="O20" s="279"/>
      <c r="P20" s="279"/>
      <c r="Q20" s="280"/>
    </row>
    <row r="21" spans="2:17" ht="21.75" customHeight="1" x14ac:dyDescent="0.2">
      <c r="B21" s="122"/>
      <c r="C21" s="122"/>
      <c r="D21" s="122"/>
      <c r="E21" s="122"/>
      <c r="G21" s="122"/>
      <c r="J21" s="38" t="s">
        <v>20</v>
      </c>
      <c r="K21" s="54"/>
      <c r="L21" s="281" t="s">
        <v>8</v>
      </c>
      <c r="M21" s="282"/>
      <c r="N21" s="282"/>
      <c r="O21" s="282"/>
      <c r="P21" s="282"/>
      <c r="Q21" s="283"/>
    </row>
    <row r="22" spans="2:17" ht="21.75" customHeight="1" x14ac:dyDescent="0.2">
      <c r="B22" s="108"/>
      <c r="C22" s="111"/>
      <c r="D22" s="111"/>
      <c r="E22" s="111"/>
      <c r="F22" s="111"/>
      <c r="G22" s="111"/>
      <c r="J22" s="38" t="s">
        <v>21</v>
      </c>
      <c r="K22" s="181" t="s">
        <v>184</v>
      </c>
      <c r="L22" s="281" t="s">
        <v>185</v>
      </c>
      <c r="M22" s="282"/>
      <c r="N22" s="282"/>
      <c r="O22" s="282"/>
      <c r="P22" s="282"/>
      <c r="Q22" s="283"/>
    </row>
    <row r="23" spans="2:17" ht="21.75" customHeight="1" thickBot="1" x14ac:dyDescent="0.25">
      <c r="B23" s="108"/>
      <c r="C23" s="111"/>
      <c r="D23" s="111"/>
      <c r="E23" s="111"/>
      <c r="F23" s="111"/>
      <c r="G23" s="111"/>
      <c r="J23" s="39" t="s">
        <v>149</v>
      </c>
      <c r="K23" s="55"/>
      <c r="L23" s="284" t="s">
        <v>8</v>
      </c>
      <c r="M23" s="285"/>
      <c r="N23" s="285"/>
      <c r="O23" s="285"/>
      <c r="P23" s="285"/>
      <c r="Q23" s="286"/>
    </row>
    <row r="24" spans="2:17" x14ac:dyDescent="0.2">
      <c r="B24" s="15" t="s">
        <v>198</v>
      </c>
    </row>
    <row r="25" spans="2:17" x14ac:dyDescent="0.2">
      <c r="C25" s="15" t="s">
        <v>45</v>
      </c>
    </row>
    <row r="26" spans="2:17" x14ac:dyDescent="0.2">
      <c r="C26" t="s">
        <v>41</v>
      </c>
      <c r="D26" s="44"/>
      <c r="E26" s="44">
        <f>D26/589500</f>
        <v>0</v>
      </c>
    </row>
    <row r="27" spans="2:17" x14ac:dyDescent="0.2">
      <c r="C27" s="275" t="s">
        <v>197</v>
      </c>
      <c r="D27" s="275"/>
      <c r="E27" s="44">
        <f>D27/589500</f>
        <v>0</v>
      </c>
    </row>
    <row r="30" spans="2:17" x14ac:dyDescent="0.2">
      <c r="D30" s="122"/>
    </row>
  </sheetData>
  <mergeCells count="19">
    <mergeCell ref="B7:D7"/>
    <mergeCell ref="B1:R1"/>
    <mergeCell ref="B2:R2"/>
    <mergeCell ref="B3:R3"/>
    <mergeCell ref="B4:R4"/>
    <mergeCell ref="Q7:R7"/>
    <mergeCell ref="L7:P8"/>
    <mergeCell ref="B9:R9"/>
    <mergeCell ref="J19:K19"/>
    <mergeCell ref="B18:I18"/>
    <mergeCell ref="Q13:Q14"/>
    <mergeCell ref="P12:P15"/>
    <mergeCell ref="C27:D27"/>
    <mergeCell ref="L19:P19"/>
    <mergeCell ref="J20:Q20"/>
    <mergeCell ref="L21:Q21"/>
    <mergeCell ref="L23:Q23"/>
    <mergeCell ref="L22:Q22"/>
    <mergeCell ref="B20:I20"/>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32"/>
  <sheetViews>
    <sheetView view="pageBreakPreview" topLeftCell="A7" zoomScaleNormal="85" zoomScaleSheetLayoutView="100" workbookViewId="0">
      <selection activeCell="E17" sqref="E17"/>
    </sheetView>
  </sheetViews>
  <sheetFormatPr baseColWidth="10" defaultRowHeight="12.75" x14ac:dyDescent="0.2"/>
  <cols>
    <col min="1" max="1" width="1.140625" style="16" customWidth="1"/>
    <col min="2" max="2" width="14.140625" style="16" customWidth="1"/>
    <col min="3" max="3" width="44.140625" style="16" customWidth="1"/>
    <col min="4" max="4" width="16.28515625" style="16" customWidth="1"/>
    <col min="5" max="7" width="11.42578125" style="16"/>
    <col min="8" max="8" width="21.140625" style="16" customWidth="1"/>
    <col min="9" max="9" width="0.7109375" style="16" customWidth="1"/>
    <col min="10" max="16384" width="11.42578125" style="16"/>
  </cols>
  <sheetData>
    <row r="1" spans="2:8" ht="15.75" x14ac:dyDescent="0.2">
      <c r="B1" s="313" t="s">
        <v>13</v>
      </c>
      <c r="C1" s="313"/>
      <c r="D1" s="313"/>
      <c r="E1" s="313"/>
      <c r="F1" s="313"/>
      <c r="G1" s="313"/>
      <c r="H1" s="313"/>
    </row>
    <row r="2" spans="2:8" x14ac:dyDescent="0.2">
      <c r="B2" s="16" t="s">
        <v>14</v>
      </c>
    </row>
    <row r="3" spans="2:8" ht="59.25" customHeight="1" x14ac:dyDescent="0.2">
      <c r="B3" s="314" t="str">
        <f>+'Exp. Gen (1)'!B2:R2</f>
        <v>"CONTRATAR LA CONSULTORIA ESPECIALIZADA PARA LA ELABORACIÓN DE LOS ESTUDIOS, DISEÑOS Y LA GESTIÓN PREDIAL PARA LA CONSTRUCCIÓN DE LOS PUENTES PEATONALES “CAMILO TORRES”, “DORADO” y “DUCALES”, EN EL SECTOR DE SOACHA DEL PROYECTO VIAL BOSA-GRANADA-GIRARDOT"</v>
      </c>
      <c r="C3" s="314"/>
      <c r="D3" s="314"/>
      <c r="E3" s="314"/>
      <c r="F3" s="314"/>
      <c r="G3" s="314"/>
      <c r="H3" s="314"/>
    </row>
    <row r="4" spans="2:8" ht="15.75" x14ac:dyDescent="0.2">
      <c r="B4" s="313" t="str">
        <f>+'Exp. Gen (1)'!B1:R1</f>
        <v>PROCESO VJ-VGC-CM-008-2013</v>
      </c>
      <c r="C4" s="313"/>
      <c r="D4" s="313"/>
      <c r="E4" s="313"/>
      <c r="F4" s="313"/>
      <c r="G4" s="313"/>
      <c r="H4" s="313"/>
    </row>
    <row r="5" spans="2:8" x14ac:dyDescent="0.2">
      <c r="B5" s="315"/>
      <c r="C5" s="315"/>
      <c r="D5" s="315"/>
      <c r="E5" s="315"/>
      <c r="F5" s="315"/>
      <c r="G5" s="315"/>
      <c r="H5" s="315"/>
    </row>
    <row r="6" spans="2:8" x14ac:dyDescent="0.2">
      <c r="B6" s="316" t="s">
        <v>15</v>
      </c>
      <c r="C6" s="316"/>
      <c r="D6" s="316"/>
      <c r="E6" s="316"/>
      <c r="F6" s="316"/>
      <c r="G6" s="316"/>
      <c r="H6" s="316"/>
    </row>
    <row r="7" spans="2:8" ht="13.5" thickBot="1" x14ac:dyDescent="0.25"/>
    <row r="8" spans="2:8" ht="38.25" customHeight="1" x14ac:dyDescent="0.2">
      <c r="B8" s="309" t="s">
        <v>16</v>
      </c>
      <c r="C8" s="311" t="s">
        <v>17</v>
      </c>
      <c r="D8" s="311" t="s">
        <v>18</v>
      </c>
      <c r="E8" s="311"/>
      <c r="F8" s="311"/>
      <c r="G8" s="311"/>
      <c r="H8" s="317" t="s">
        <v>25</v>
      </c>
    </row>
    <row r="9" spans="2:8" ht="36.75" thickBot="1" x14ac:dyDescent="0.25">
      <c r="B9" s="310"/>
      <c r="C9" s="312"/>
      <c r="D9" s="107" t="s">
        <v>199</v>
      </c>
      <c r="E9" s="20" t="s">
        <v>20</v>
      </c>
      <c r="F9" s="20" t="s">
        <v>21</v>
      </c>
      <c r="G9" s="20" t="s">
        <v>149</v>
      </c>
      <c r="H9" s="318"/>
    </row>
    <row r="10" spans="2:8" ht="13.5" thickBot="1" x14ac:dyDescent="0.25"/>
    <row r="11" spans="2:8" ht="24.95" customHeight="1" x14ac:dyDescent="0.2">
      <c r="B11" s="22">
        <v>1</v>
      </c>
      <c r="C11" s="7" t="str">
        <f>+'Exp. Gen (1)'!D6</f>
        <v>JAM INGENIERIA Y MEDIO AMBIENTE EU</v>
      </c>
      <c r="D11" s="23">
        <v>12.14</v>
      </c>
      <c r="E11" s="23" t="s">
        <v>8</v>
      </c>
      <c r="F11" s="180" t="s">
        <v>185</v>
      </c>
      <c r="G11" s="23" t="s">
        <v>8</v>
      </c>
      <c r="H11" s="45" t="s">
        <v>22</v>
      </c>
    </row>
    <row r="12" spans="2:8" ht="24.95" customHeight="1" x14ac:dyDescent="0.2">
      <c r="B12" s="66">
        <v>2</v>
      </c>
      <c r="C12" s="6" t="str">
        <f>+'Exp. Gen (2)'!D6</f>
        <v>GRUPO POSSO S.A.S</v>
      </c>
      <c r="D12" s="67">
        <v>25.84</v>
      </c>
      <c r="E12" s="67" t="s">
        <v>8</v>
      </c>
      <c r="F12" s="67" t="s">
        <v>185</v>
      </c>
      <c r="G12" s="67" t="s">
        <v>8</v>
      </c>
      <c r="H12" s="68" t="s">
        <v>22</v>
      </c>
    </row>
    <row r="13" spans="2:8" ht="24.95" customHeight="1" x14ac:dyDescent="0.2">
      <c r="B13" s="66">
        <v>3</v>
      </c>
      <c r="C13" s="6" t="str">
        <f>+'Exp. Gen (3)'!D6</f>
        <v>GEICOL S.A.S</v>
      </c>
      <c r="D13" s="67">
        <v>14.07</v>
      </c>
      <c r="E13" s="67" t="s">
        <v>8</v>
      </c>
      <c r="F13" s="67" t="s">
        <v>185</v>
      </c>
      <c r="G13" s="67" t="s">
        <v>8</v>
      </c>
      <c r="H13" s="68" t="s">
        <v>22</v>
      </c>
    </row>
    <row r="14" spans="2:8" ht="24.95" customHeight="1" x14ac:dyDescent="0.2">
      <c r="B14" s="66">
        <v>4</v>
      </c>
      <c r="C14" s="6" t="str">
        <f>+'Exp. Gen (4)'!D6</f>
        <v>GEOTECNIA Y CIMENTACIONES S.A.S</v>
      </c>
      <c r="D14" s="67">
        <v>19.03</v>
      </c>
      <c r="E14" s="67" t="s">
        <v>8</v>
      </c>
      <c r="F14" s="67" t="s">
        <v>185</v>
      </c>
      <c r="G14" s="67" t="s">
        <v>8</v>
      </c>
      <c r="H14" s="68" t="s">
        <v>22</v>
      </c>
    </row>
    <row r="15" spans="2:8" ht="24.95" customHeight="1" x14ac:dyDescent="0.2">
      <c r="B15" s="66">
        <v>5</v>
      </c>
      <c r="C15" s="6" t="str">
        <f>+'Exp. Gen (5)'!D6</f>
        <v>C.I.C CONSULTORES DE INGENIERIA S.A.S</v>
      </c>
      <c r="D15" s="67">
        <v>22.87</v>
      </c>
      <c r="E15" s="67" t="s">
        <v>8</v>
      </c>
      <c r="F15" s="67" t="s">
        <v>185</v>
      </c>
      <c r="G15" s="67" t="s">
        <v>8</v>
      </c>
      <c r="H15" s="68" t="s">
        <v>22</v>
      </c>
    </row>
    <row r="16" spans="2:8" ht="24.95" customHeight="1" x14ac:dyDescent="0.2">
      <c r="B16" s="66">
        <v>6</v>
      </c>
      <c r="C16" s="6" t="str">
        <f>+'Exp. Gen (6)'!D6</f>
        <v>CONSORCIO PUENTES SOACHA</v>
      </c>
      <c r="D16" s="109" t="s">
        <v>145</v>
      </c>
      <c r="E16" s="24" t="s">
        <v>8</v>
      </c>
      <c r="F16" s="24" t="s">
        <v>8</v>
      </c>
      <c r="G16" s="24" t="s">
        <v>8</v>
      </c>
      <c r="H16" s="46" t="s">
        <v>22</v>
      </c>
    </row>
    <row r="17" spans="2:8" ht="24.95" customHeight="1" x14ac:dyDescent="0.2">
      <c r="B17" s="66">
        <v>7</v>
      </c>
      <c r="C17" s="6" t="str">
        <f>+'Exp. Gen (7)'!D6</f>
        <v>CONSORCIO PUENTES SOACHA (2)</v>
      </c>
      <c r="D17" s="109" t="s">
        <v>146</v>
      </c>
      <c r="E17" s="24" t="s">
        <v>8</v>
      </c>
      <c r="F17" s="24" t="s">
        <v>8</v>
      </c>
      <c r="G17" s="24" t="s">
        <v>8</v>
      </c>
      <c r="H17" s="46" t="s">
        <v>22</v>
      </c>
    </row>
    <row r="18" spans="2:8" ht="24.95" customHeight="1" x14ac:dyDescent="0.2">
      <c r="B18" s="66">
        <v>8</v>
      </c>
      <c r="C18" s="6" t="str">
        <f>+'Exp. Gen (8)'!D6</f>
        <v>TECNOCONSULTA S.A.S</v>
      </c>
      <c r="D18" s="24">
        <v>40.44</v>
      </c>
      <c r="E18" s="24" t="s">
        <v>8</v>
      </c>
      <c r="F18" s="24" t="s">
        <v>185</v>
      </c>
      <c r="G18" s="24" t="s">
        <v>8</v>
      </c>
      <c r="H18" s="46" t="s">
        <v>22</v>
      </c>
    </row>
    <row r="19" spans="2:8" ht="24.95" customHeight="1" x14ac:dyDescent="0.2">
      <c r="B19" s="66">
        <v>9</v>
      </c>
      <c r="C19" s="6" t="str">
        <f>+'Exp. Gen (9)'!D6</f>
        <v>CONSORCIO PROES - CPT</v>
      </c>
      <c r="D19" s="24" t="s">
        <v>147</v>
      </c>
      <c r="E19" s="24" t="s">
        <v>8</v>
      </c>
      <c r="F19" s="24" t="s">
        <v>8</v>
      </c>
      <c r="G19" s="24" t="s">
        <v>8</v>
      </c>
      <c r="H19" s="188" t="s">
        <v>22</v>
      </c>
    </row>
    <row r="22" spans="2:8" ht="15.75" x14ac:dyDescent="0.25">
      <c r="B22" s="18" t="s">
        <v>23</v>
      </c>
      <c r="C22" s="18" t="s">
        <v>55</v>
      </c>
      <c r="D22" s="17"/>
    </row>
    <row r="23" spans="2:8" ht="15.75" x14ac:dyDescent="0.25">
      <c r="B23" s="18" t="s">
        <v>24</v>
      </c>
      <c r="C23" s="18" t="s">
        <v>56</v>
      </c>
      <c r="D23" s="17"/>
    </row>
    <row r="24" spans="2:8" ht="15.75" x14ac:dyDescent="0.25">
      <c r="B24" s="18"/>
      <c r="C24" s="18"/>
      <c r="D24" s="17"/>
    </row>
    <row r="25" spans="2:8" ht="15.75" x14ac:dyDescent="0.25">
      <c r="B25" s="18"/>
      <c r="C25" s="18"/>
      <c r="D25" s="17"/>
    </row>
    <row r="26" spans="2:8" ht="15.75" x14ac:dyDescent="0.25">
      <c r="B26" s="18"/>
      <c r="C26" s="18"/>
      <c r="D26" s="17"/>
    </row>
    <row r="27" spans="2:8" ht="15.75" x14ac:dyDescent="0.25">
      <c r="B27" s="18"/>
      <c r="C27" s="18"/>
      <c r="D27" s="17"/>
    </row>
    <row r="29" spans="2:8" x14ac:dyDescent="0.2">
      <c r="B29" t="s">
        <v>42</v>
      </c>
      <c r="C29"/>
    </row>
    <row r="30" spans="2:8" x14ac:dyDescent="0.2">
      <c r="B30"/>
      <c r="C30" s="15" t="s">
        <v>45</v>
      </c>
    </row>
    <row r="31" spans="2:8" x14ac:dyDescent="0.2">
      <c r="B31"/>
      <c r="C31" s="15" t="s">
        <v>41</v>
      </c>
    </row>
    <row r="32" spans="2:8" x14ac:dyDescent="0.2">
      <c r="B32"/>
      <c r="C32"/>
    </row>
  </sheetData>
  <mergeCells count="9">
    <mergeCell ref="B8:B9"/>
    <mergeCell ref="C8:C9"/>
    <mergeCell ref="D8:G8"/>
    <mergeCell ref="B1:H1"/>
    <mergeCell ref="B3:H3"/>
    <mergeCell ref="B4:H4"/>
    <mergeCell ref="B5:H5"/>
    <mergeCell ref="B6:H6"/>
    <mergeCell ref="H8:H9"/>
  </mergeCells>
  <pageMargins left="0.70866141732283472" right="0.70866141732283472" top="0.74803149606299213" bottom="0.74803149606299213" header="0.31496062992125984" footer="0.31496062992125984"/>
  <pageSetup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12" zoomScale="75" zoomScaleNormal="70" zoomScaleSheetLayoutView="75" workbookViewId="0">
      <selection activeCell="N21" sqref="N21:R21"/>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1:20" ht="18.75" customHeight="1" x14ac:dyDescent="0.2">
      <c r="B3" s="298" t="str">
        <f>+'Exp. Gen (1)'!B1:R1</f>
        <v>PROCESO VJ-VGC-CM-008-2013</v>
      </c>
      <c r="C3" s="298"/>
      <c r="D3" s="298"/>
      <c r="E3" s="298"/>
      <c r="F3" s="298"/>
      <c r="G3" s="298"/>
      <c r="H3" s="298"/>
      <c r="I3" s="298"/>
      <c r="J3" s="298"/>
      <c r="K3" s="298"/>
      <c r="L3" s="298"/>
      <c r="M3" s="298"/>
      <c r="N3" s="298"/>
      <c r="O3" s="298"/>
      <c r="P3" s="298"/>
      <c r="Q3" s="298"/>
      <c r="R3" s="298"/>
    </row>
    <row r="4" spans="1:20" ht="49.5" customHeight="1" x14ac:dyDescent="0.2">
      <c r="B4" s="298"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8"/>
      <c r="D4" s="298"/>
      <c r="E4" s="298"/>
      <c r="F4" s="298"/>
      <c r="G4" s="298"/>
      <c r="H4" s="298"/>
      <c r="I4" s="298"/>
      <c r="J4" s="298"/>
      <c r="K4" s="298"/>
      <c r="L4" s="298"/>
      <c r="M4" s="298"/>
      <c r="N4" s="298"/>
      <c r="O4" s="298"/>
      <c r="P4" s="298"/>
      <c r="Q4" s="298"/>
      <c r="R4" s="298"/>
    </row>
    <row r="5" spans="1:20" ht="18.75" x14ac:dyDescent="0.2">
      <c r="B5" s="336" t="s">
        <v>29</v>
      </c>
      <c r="C5" s="336"/>
      <c r="D5" s="336"/>
      <c r="E5" s="336"/>
      <c r="F5" s="336"/>
      <c r="G5" s="336"/>
      <c r="H5" s="336"/>
      <c r="I5" s="336"/>
      <c r="J5" s="336"/>
      <c r="K5" s="336"/>
      <c r="L5" s="336"/>
      <c r="M5" s="336"/>
      <c r="N5" s="336"/>
      <c r="O5" s="336"/>
      <c r="P5" s="336"/>
      <c r="Q5" s="336"/>
      <c r="R5" s="336"/>
    </row>
    <row r="6" spans="1:20" ht="18.75" x14ac:dyDescent="0.2">
      <c r="B6" s="336" t="s">
        <v>26</v>
      </c>
      <c r="C6" s="336"/>
      <c r="D6" s="336"/>
      <c r="E6" s="336"/>
      <c r="F6" s="336"/>
      <c r="G6" s="336"/>
      <c r="H6" s="336"/>
      <c r="I6" s="336"/>
      <c r="J6" s="336"/>
      <c r="K6" s="336"/>
      <c r="L6" s="336"/>
      <c r="M6" s="336"/>
      <c r="N6" s="336"/>
      <c r="O6" s="336"/>
      <c r="P6" s="336"/>
      <c r="Q6" s="336"/>
      <c r="R6" s="336"/>
    </row>
    <row r="7" spans="1:20" ht="18.75" x14ac:dyDescent="0.2">
      <c r="B7" s="9"/>
      <c r="C7" s="9"/>
      <c r="D7" s="9"/>
      <c r="E7" s="9"/>
      <c r="F7" s="9"/>
      <c r="G7" s="9"/>
      <c r="H7" s="9"/>
      <c r="I7" s="9"/>
      <c r="J7" s="8"/>
      <c r="K7" s="8"/>
      <c r="L7" s="16"/>
      <c r="M7" s="16"/>
      <c r="N7" s="16"/>
      <c r="O7" s="16"/>
      <c r="P7" s="16"/>
      <c r="Q7" s="8"/>
    </row>
    <row r="8" spans="1:20" ht="21.75" customHeight="1" x14ac:dyDescent="0.2">
      <c r="B8" s="8"/>
      <c r="C8" s="31" t="s">
        <v>34</v>
      </c>
      <c r="D8" s="59" t="str">
        <f>+'Exp. Gen (1)'!D6</f>
        <v>JAM INGENIERIA Y MEDIO AMBIENTE EU</v>
      </c>
      <c r="E8" s="59"/>
      <c r="F8" s="59"/>
      <c r="G8" s="59"/>
      <c r="H8" s="59"/>
      <c r="I8" s="31"/>
      <c r="J8" s="31"/>
      <c r="K8" s="31"/>
      <c r="L8" s="31"/>
      <c r="M8" s="31"/>
      <c r="N8" s="31"/>
      <c r="O8" s="31"/>
      <c r="P8" s="31"/>
      <c r="Q8" s="31"/>
    </row>
    <row r="9" spans="1:20" ht="15.75" x14ac:dyDescent="0.2">
      <c r="B9" s="11"/>
      <c r="C9" s="11"/>
      <c r="D9" s="11"/>
      <c r="E9" s="11"/>
      <c r="F9" s="49"/>
      <c r="G9" s="11"/>
      <c r="H9" s="11"/>
      <c r="I9" s="11"/>
      <c r="J9" s="8"/>
      <c r="K9" s="8"/>
      <c r="L9" s="16"/>
      <c r="M9" s="16"/>
      <c r="N9" s="16"/>
      <c r="O9" s="16"/>
      <c r="P9" s="16"/>
      <c r="Q9" s="8"/>
    </row>
    <row r="10" spans="1:20" ht="16.5" thickBot="1" x14ac:dyDescent="0.25">
      <c r="B10" s="337"/>
      <c r="C10" s="337"/>
      <c r="D10" s="337"/>
      <c r="E10" s="337"/>
      <c r="F10" s="337"/>
      <c r="G10" s="337"/>
      <c r="H10" s="337"/>
      <c r="I10" s="337"/>
      <c r="J10" s="8"/>
      <c r="K10" s="8"/>
      <c r="L10" s="16"/>
      <c r="M10" s="16"/>
      <c r="N10" s="16"/>
      <c r="O10" s="16"/>
      <c r="P10" s="16"/>
      <c r="Q10" s="8"/>
    </row>
    <row r="11" spans="1:20" s="15" customFormat="1" ht="105.75" customHeight="1" thickBot="1" x14ac:dyDescent="0.25">
      <c r="B11" s="163"/>
      <c r="C11" s="161" t="s">
        <v>27</v>
      </c>
      <c r="D11" s="161" t="s">
        <v>1</v>
      </c>
      <c r="E11" s="161" t="s">
        <v>28</v>
      </c>
      <c r="F11" s="161" t="s">
        <v>44</v>
      </c>
      <c r="G11" s="161" t="s">
        <v>170</v>
      </c>
      <c r="H11" s="30" t="s">
        <v>7</v>
      </c>
      <c r="I11" s="161" t="s">
        <v>2</v>
      </c>
      <c r="J11" s="161" t="s">
        <v>3</v>
      </c>
      <c r="K11" s="161" t="s">
        <v>4</v>
      </c>
      <c r="L11" s="161" t="s">
        <v>5</v>
      </c>
      <c r="M11" s="161" t="s">
        <v>152</v>
      </c>
      <c r="N11" s="161" t="s">
        <v>20</v>
      </c>
      <c r="O11" s="161" t="s">
        <v>21</v>
      </c>
      <c r="P11" s="161" t="s">
        <v>149</v>
      </c>
      <c r="Q11" s="161" t="s">
        <v>176</v>
      </c>
      <c r="R11" s="161" t="s">
        <v>174</v>
      </c>
      <c r="S11" s="162" t="s">
        <v>38</v>
      </c>
    </row>
    <row r="12" spans="1:20" s="81" customFormat="1" ht="99.75" customHeight="1" x14ac:dyDescent="0.2">
      <c r="A12" s="241"/>
      <c r="B12" s="242">
        <v>1</v>
      </c>
      <c r="C12" s="52" t="s">
        <v>58</v>
      </c>
      <c r="D12" s="117" t="s">
        <v>59</v>
      </c>
      <c r="E12" s="216">
        <v>360690000</v>
      </c>
      <c r="F12" s="216">
        <f>+E12*G12</f>
        <v>360690000</v>
      </c>
      <c r="G12" s="90">
        <v>1</v>
      </c>
      <c r="H12" s="92">
        <f>F12/381500</f>
        <v>945.45216251638271</v>
      </c>
      <c r="I12" s="215">
        <v>38534</v>
      </c>
      <c r="J12" s="215">
        <v>38625</v>
      </c>
      <c r="K12" s="158" t="s">
        <v>10</v>
      </c>
      <c r="L12" s="52" t="s">
        <v>60</v>
      </c>
      <c r="M12" s="263" t="str">
        <f>IF((J12-I12)&gt;120,"CUMPLE","NO CUMPLE")</f>
        <v>NO CUMPLE</v>
      </c>
      <c r="N12" s="182"/>
      <c r="O12" s="159"/>
      <c r="P12" s="159"/>
      <c r="Q12" s="323">
        <v>0</v>
      </c>
      <c r="R12" s="323">
        <v>100</v>
      </c>
      <c r="S12" s="264" t="s">
        <v>165</v>
      </c>
    </row>
    <row r="13" spans="1:20" s="81" customFormat="1" ht="56.25" customHeight="1" x14ac:dyDescent="0.2">
      <c r="A13" s="246"/>
      <c r="B13" s="247">
        <v>2</v>
      </c>
      <c r="C13" s="53" t="s">
        <v>58</v>
      </c>
      <c r="D13" s="77" t="s">
        <v>61</v>
      </c>
      <c r="E13" s="218">
        <v>478341789</v>
      </c>
      <c r="F13" s="223">
        <f t="shared" ref="F13:F14" si="0">+E13*G13</f>
        <v>478341789</v>
      </c>
      <c r="G13" s="95">
        <v>1</v>
      </c>
      <c r="H13" s="98">
        <f>F13/566700</f>
        <v>844.08291688724194</v>
      </c>
      <c r="I13" s="217">
        <v>41271</v>
      </c>
      <c r="J13" s="217">
        <v>41439</v>
      </c>
      <c r="K13" s="213" t="s">
        <v>10</v>
      </c>
      <c r="L13" s="53" t="s">
        <v>62</v>
      </c>
      <c r="M13" s="98" t="str">
        <f>IF((J13-I13)&gt;120,"CUMPLE")</f>
        <v>CUMPLE</v>
      </c>
      <c r="N13" s="328">
        <f>+H13+H14+H15</f>
        <v>1680.0873357892465</v>
      </c>
      <c r="O13" s="224"/>
      <c r="P13" s="224" t="s">
        <v>177</v>
      </c>
      <c r="Q13" s="324"/>
      <c r="R13" s="324"/>
      <c r="S13" s="160"/>
      <c r="T13" s="81" t="s">
        <v>201</v>
      </c>
    </row>
    <row r="14" spans="1:20" s="81" customFormat="1" ht="83.25" customHeight="1" x14ac:dyDescent="0.2">
      <c r="A14" s="246"/>
      <c r="B14" s="247">
        <v>3</v>
      </c>
      <c r="C14" s="53" t="s">
        <v>58</v>
      </c>
      <c r="D14" s="77" t="s">
        <v>200</v>
      </c>
      <c r="E14" s="218">
        <v>177786335</v>
      </c>
      <c r="F14" s="223">
        <f t="shared" si="0"/>
        <v>177786335</v>
      </c>
      <c r="G14" s="95">
        <v>1</v>
      </c>
      <c r="H14" s="98">
        <f>F14/461500</f>
        <v>385.23582881906827</v>
      </c>
      <c r="I14" s="217">
        <v>39532</v>
      </c>
      <c r="J14" s="217">
        <v>39987</v>
      </c>
      <c r="K14" s="213" t="s">
        <v>10</v>
      </c>
      <c r="L14" s="53" t="s">
        <v>64</v>
      </c>
      <c r="M14" s="98" t="str">
        <f>IF((J14-I14)&gt;120,"CUMPLE")</f>
        <v>CUMPLE</v>
      </c>
      <c r="N14" s="328"/>
      <c r="O14" s="213" t="s">
        <v>177</v>
      </c>
      <c r="P14" s="224"/>
      <c r="Q14" s="324"/>
      <c r="R14" s="324"/>
      <c r="S14" s="156"/>
      <c r="T14" s="81" t="s">
        <v>202</v>
      </c>
    </row>
    <row r="15" spans="1:20" s="81" customFormat="1" ht="72" customHeight="1" thickBot="1" x14ac:dyDescent="0.25">
      <c r="A15" s="248"/>
      <c r="B15" s="249">
        <v>4</v>
      </c>
      <c r="C15" s="65" t="s">
        <v>58</v>
      </c>
      <c r="D15" s="130" t="s">
        <v>65</v>
      </c>
      <c r="E15" s="220">
        <v>1021802240</v>
      </c>
      <c r="F15" s="226">
        <f t="shared" ref="F15" si="1">+E15*G15</f>
        <v>255450560</v>
      </c>
      <c r="G15" s="102">
        <v>0.25</v>
      </c>
      <c r="H15" s="105">
        <f>+F15/566700</f>
        <v>450.76859008293627</v>
      </c>
      <c r="I15" s="219">
        <v>40975</v>
      </c>
      <c r="J15" s="219">
        <v>41203</v>
      </c>
      <c r="K15" s="214" t="s">
        <v>10</v>
      </c>
      <c r="L15" s="65" t="s">
        <v>66</v>
      </c>
      <c r="M15" s="105" t="str">
        <f>IF((J15-I15)&gt;120,"CUMPLE")</f>
        <v>CUMPLE</v>
      </c>
      <c r="N15" s="329"/>
      <c r="O15" s="227"/>
      <c r="P15" s="214"/>
      <c r="Q15" s="325"/>
      <c r="R15" s="325"/>
      <c r="S15" s="157"/>
    </row>
    <row r="16" spans="1:20" ht="15" x14ac:dyDescent="0.2">
      <c r="B16" s="12"/>
      <c r="C16" s="13"/>
      <c r="D16" s="13"/>
      <c r="E16" s="19"/>
      <c r="F16" s="19"/>
      <c r="G16" s="13"/>
      <c r="H16" s="13"/>
      <c r="I16" s="13"/>
      <c r="J16" s="14"/>
      <c r="K16" s="14"/>
      <c r="L16" s="14"/>
      <c r="M16" s="14"/>
      <c r="N16" s="14"/>
      <c r="O16" s="14"/>
      <c r="P16" s="14"/>
      <c r="Q16" s="14"/>
    </row>
    <row r="17" spans="2:18" ht="13.5" thickBot="1" x14ac:dyDescent="0.25">
      <c r="C17" s="5" t="s">
        <v>30</v>
      </c>
    </row>
    <row r="18" spans="2:18" x14ac:dyDescent="0.2">
      <c r="C18" s="5"/>
      <c r="L18" s="330" t="s">
        <v>214</v>
      </c>
      <c r="M18" s="331"/>
      <c r="N18" s="331"/>
      <c r="O18" s="331"/>
      <c r="P18" s="331"/>
      <c r="Q18" s="331"/>
      <c r="R18" s="332"/>
    </row>
    <row r="19" spans="2:18" ht="29.25" customHeight="1" thickBot="1" x14ac:dyDescent="0.25">
      <c r="C19" s="152" t="s">
        <v>57</v>
      </c>
      <c r="D19" s="151"/>
      <c r="E19" s="151"/>
      <c r="F19" s="151"/>
      <c r="G19" s="151"/>
      <c r="H19" s="151"/>
      <c r="I19" s="151"/>
      <c r="K19" s="165"/>
      <c r="L19" s="333"/>
      <c r="M19" s="334"/>
      <c r="N19" s="334"/>
      <c r="O19" s="334"/>
      <c r="P19" s="334"/>
      <c r="Q19" s="334"/>
      <c r="R19" s="335"/>
    </row>
    <row r="20" spans="2:18" s="151" customFormat="1" ht="24.95" customHeight="1" x14ac:dyDescent="0.2">
      <c r="C20" s="326" t="s">
        <v>175</v>
      </c>
      <c r="D20" s="326"/>
      <c r="E20" s="326"/>
      <c r="F20" s="326"/>
      <c r="G20" s="326"/>
      <c r="H20" s="326"/>
      <c r="K20" s="166"/>
      <c r="L20" s="231" t="s">
        <v>20</v>
      </c>
      <c r="M20" s="251"/>
      <c r="N20" s="320" t="s">
        <v>8</v>
      </c>
      <c r="O20" s="321"/>
      <c r="P20" s="321"/>
      <c r="Q20" s="321"/>
      <c r="R20" s="322"/>
    </row>
    <row r="21" spans="2:18" s="151" customFormat="1" ht="24.95" customHeight="1" x14ac:dyDescent="0.2">
      <c r="C21" s="152" t="s">
        <v>186</v>
      </c>
      <c r="I21"/>
      <c r="K21" s="166"/>
      <c r="L21" s="153" t="s">
        <v>21</v>
      </c>
      <c r="M21" s="155"/>
      <c r="N21" s="281" t="s">
        <v>8</v>
      </c>
      <c r="O21" s="282"/>
      <c r="P21" s="282"/>
      <c r="Q21" s="282"/>
      <c r="R21" s="283"/>
    </row>
    <row r="22" spans="2:18" s="151" customFormat="1" ht="24.95" customHeight="1" thickBot="1" x14ac:dyDescent="0.25">
      <c r="C22" s="152" t="s">
        <v>172</v>
      </c>
      <c r="K22" s="166"/>
      <c r="L22" s="154" t="s">
        <v>149</v>
      </c>
      <c r="M22" s="164"/>
      <c r="N22" s="284" t="s">
        <v>8</v>
      </c>
      <c r="O22" s="285"/>
      <c r="P22" s="285"/>
      <c r="Q22" s="285"/>
      <c r="R22" s="286"/>
    </row>
    <row r="23" spans="2:18" s="151" customFormat="1" ht="35.1" customHeight="1" x14ac:dyDescent="0.2">
      <c r="C23" s="326" t="s">
        <v>179</v>
      </c>
      <c r="D23" s="326"/>
      <c r="E23" s="326"/>
      <c r="F23" s="326"/>
      <c r="G23" s="326"/>
      <c r="H23" s="326"/>
      <c r="I23" s="326"/>
    </row>
    <row r="24" spans="2:18" s="151" customFormat="1" ht="35.1" customHeight="1" x14ac:dyDescent="0.2">
      <c r="C24" s="327" t="s">
        <v>178</v>
      </c>
      <c r="D24" s="327"/>
      <c r="E24" s="327"/>
      <c r="F24" s="327"/>
      <c r="G24" s="327"/>
      <c r="H24" s="327"/>
      <c r="I24" s="327"/>
    </row>
    <row r="25" spans="2:18" ht="18" customHeight="1" x14ac:dyDescent="0.2">
      <c r="C25" s="319" t="s">
        <v>180</v>
      </c>
      <c r="D25" s="319"/>
      <c r="E25" s="319"/>
      <c r="F25" s="319"/>
      <c r="G25" s="319"/>
      <c r="H25" s="319"/>
      <c r="I25" s="319"/>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197</v>
      </c>
    </row>
  </sheetData>
  <mergeCells count="16">
    <mergeCell ref="B3:R3"/>
    <mergeCell ref="B4:R4"/>
    <mergeCell ref="B5:R5"/>
    <mergeCell ref="B6:R6"/>
    <mergeCell ref="B10:I10"/>
    <mergeCell ref="C25:I25"/>
    <mergeCell ref="N20:R20"/>
    <mergeCell ref="Q12:Q15"/>
    <mergeCell ref="C20:H20"/>
    <mergeCell ref="C23:I23"/>
    <mergeCell ref="N21:R21"/>
    <mergeCell ref="N22:R22"/>
    <mergeCell ref="C24:I24"/>
    <mergeCell ref="R12:R15"/>
    <mergeCell ref="N13:N15"/>
    <mergeCell ref="L18:R19"/>
  </mergeCells>
  <pageMargins left="0.47" right="0.4" top="0.53" bottom="0.53" header="0.31496062992125984" footer="0.31496062992125984"/>
  <pageSetup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12" zoomScale="75" zoomScaleNormal="70" zoomScaleSheetLayoutView="75" workbookViewId="0">
      <selection activeCell="S14" sqref="S14"/>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1:20" ht="18.75" customHeight="1" x14ac:dyDescent="0.2">
      <c r="B3" s="298" t="str">
        <f>+'Exp. Gen (1)'!B1:R1</f>
        <v>PROCESO VJ-VGC-CM-008-2013</v>
      </c>
      <c r="C3" s="298"/>
      <c r="D3" s="298"/>
      <c r="E3" s="298"/>
      <c r="F3" s="298"/>
      <c r="G3" s="298"/>
      <c r="H3" s="298"/>
      <c r="I3" s="298"/>
      <c r="J3" s="298"/>
      <c r="K3" s="298"/>
      <c r="L3" s="298"/>
      <c r="M3" s="298"/>
      <c r="N3" s="298"/>
      <c r="O3" s="298"/>
      <c r="P3" s="298"/>
      <c r="Q3" s="298"/>
      <c r="R3" s="298"/>
    </row>
    <row r="4" spans="1:20" ht="49.5" customHeight="1" x14ac:dyDescent="0.2">
      <c r="B4" s="298"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8"/>
      <c r="D4" s="298"/>
      <c r="E4" s="298"/>
      <c r="F4" s="298"/>
      <c r="G4" s="298"/>
      <c r="H4" s="298"/>
      <c r="I4" s="298"/>
      <c r="J4" s="298"/>
      <c r="K4" s="298"/>
      <c r="L4" s="298"/>
      <c r="M4" s="298"/>
      <c r="N4" s="298"/>
      <c r="O4" s="298"/>
      <c r="P4" s="298"/>
      <c r="Q4" s="298"/>
      <c r="R4" s="298"/>
    </row>
    <row r="5" spans="1:20" ht="18.75" x14ac:dyDescent="0.2">
      <c r="B5" s="336" t="s">
        <v>29</v>
      </c>
      <c r="C5" s="336"/>
      <c r="D5" s="336"/>
      <c r="E5" s="336"/>
      <c r="F5" s="336"/>
      <c r="G5" s="336"/>
      <c r="H5" s="336"/>
      <c r="I5" s="336"/>
      <c r="J5" s="336"/>
      <c r="K5" s="336"/>
      <c r="L5" s="336"/>
      <c r="M5" s="336"/>
      <c r="N5" s="336"/>
      <c r="O5" s="336"/>
      <c r="P5" s="336"/>
      <c r="Q5" s="336"/>
      <c r="R5" s="336"/>
    </row>
    <row r="6" spans="1:20" ht="18.75" x14ac:dyDescent="0.2">
      <c r="B6" s="336" t="s">
        <v>26</v>
      </c>
      <c r="C6" s="336"/>
      <c r="D6" s="336"/>
      <c r="E6" s="336"/>
      <c r="F6" s="336"/>
      <c r="G6" s="336"/>
      <c r="H6" s="336"/>
      <c r="I6" s="336"/>
      <c r="J6" s="336"/>
      <c r="K6" s="336"/>
      <c r="L6" s="336"/>
      <c r="M6" s="336"/>
      <c r="N6" s="336"/>
      <c r="O6" s="336"/>
      <c r="P6" s="336"/>
      <c r="Q6" s="336"/>
      <c r="R6" s="336"/>
    </row>
    <row r="7" spans="1:20" ht="18.75" x14ac:dyDescent="0.2">
      <c r="B7" s="9"/>
      <c r="C7" s="9"/>
      <c r="D7" s="9"/>
      <c r="E7" s="9"/>
      <c r="F7" s="9"/>
      <c r="G7" s="9"/>
      <c r="H7" s="9"/>
      <c r="I7" s="9"/>
      <c r="J7" s="16"/>
      <c r="K7" s="16"/>
      <c r="L7" s="16"/>
      <c r="M7" s="16"/>
      <c r="N7" s="16"/>
      <c r="O7" s="16"/>
      <c r="P7" s="16"/>
      <c r="Q7" s="16"/>
    </row>
    <row r="8" spans="1:20" ht="21.75" customHeight="1" x14ac:dyDescent="0.2">
      <c r="B8" s="16"/>
      <c r="C8" s="31" t="s">
        <v>34</v>
      </c>
      <c r="D8" s="59" t="str">
        <f>+'Exp. Gen (2)'!D6</f>
        <v>GRUPO POSSO S.A.S</v>
      </c>
      <c r="E8" s="59"/>
      <c r="F8" s="59"/>
      <c r="G8" s="59"/>
      <c r="H8" s="59"/>
      <c r="I8" s="31"/>
      <c r="J8" s="31"/>
      <c r="K8" s="31"/>
      <c r="L8" s="31"/>
      <c r="M8" s="31"/>
      <c r="N8" s="31"/>
      <c r="O8" s="31"/>
      <c r="P8" s="31"/>
      <c r="Q8" s="31"/>
    </row>
    <row r="9" spans="1:20" ht="15.75" x14ac:dyDescent="0.2">
      <c r="B9" s="56"/>
      <c r="C9" s="56"/>
      <c r="D9" s="56"/>
      <c r="E9" s="56"/>
      <c r="F9" s="56"/>
      <c r="G9" s="56"/>
      <c r="H9" s="56"/>
      <c r="I9" s="56"/>
      <c r="J9" s="16"/>
      <c r="K9" s="16"/>
      <c r="L9" s="16"/>
      <c r="M9" s="16"/>
      <c r="N9" s="16"/>
      <c r="O9" s="16"/>
      <c r="P9" s="16"/>
      <c r="Q9" s="16"/>
    </row>
    <row r="10" spans="1:20" ht="16.5" thickBot="1" x14ac:dyDescent="0.25">
      <c r="B10" s="337"/>
      <c r="C10" s="337"/>
      <c r="D10" s="337"/>
      <c r="E10" s="337"/>
      <c r="F10" s="337"/>
      <c r="G10" s="337"/>
      <c r="H10" s="337"/>
      <c r="I10" s="337"/>
      <c r="J10" s="16"/>
      <c r="K10" s="16"/>
      <c r="L10" s="16"/>
      <c r="M10" s="16"/>
      <c r="N10" s="16"/>
      <c r="O10" s="16"/>
      <c r="P10" s="16"/>
      <c r="Q10" s="16"/>
    </row>
    <row r="11" spans="1:20" s="15" customFormat="1" ht="105.75" customHeight="1" thickBot="1" x14ac:dyDescent="0.25">
      <c r="B11" s="163"/>
      <c r="C11" s="161" t="s">
        <v>27</v>
      </c>
      <c r="D11" s="161" t="s">
        <v>1</v>
      </c>
      <c r="E11" s="161" t="s">
        <v>28</v>
      </c>
      <c r="F11" s="161" t="s">
        <v>44</v>
      </c>
      <c r="G11" s="161" t="s">
        <v>170</v>
      </c>
      <c r="H11" s="30" t="s">
        <v>7</v>
      </c>
      <c r="I11" s="161" t="s">
        <v>2</v>
      </c>
      <c r="J11" s="161" t="s">
        <v>3</v>
      </c>
      <c r="K11" s="161" t="s">
        <v>4</v>
      </c>
      <c r="L11" s="161" t="s">
        <v>5</v>
      </c>
      <c r="M11" s="161" t="s">
        <v>152</v>
      </c>
      <c r="N11" s="161" t="s">
        <v>20</v>
      </c>
      <c r="O11" s="161" t="s">
        <v>21</v>
      </c>
      <c r="P11" s="161" t="s">
        <v>149</v>
      </c>
      <c r="Q11" s="161" t="s">
        <v>176</v>
      </c>
      <c r="R11" s="161" t="s">
        <v>174</v>
      </c>
      <c r="S11" s="162" t="s">
        <v>38</v>
      </c>
    </row>
    <row r="12" spans="1:20" s="81" customFormat="1" ht="56.25" customHeight="1" x14ac:dyDescent="0.2">
      <c r="A12" s="241"/>
      <c r="B12" s="242">
        <v>1</v>
      </c>
      <c r="C12" s="209" t="s">
        <v>67</v>
      </c>
      <c r="D12" s="117" t="s">
        <v>70</v>
      </c>
      <c r="E12" s="216">
        <v>660580444</v>
      </c>
      <c r="F12" s="216">
        <f>+E12*G12</f>
        <v>396348266.39999998</v>
      </c>
      <c r="G12" s="90">
        <v>0.6</v>
      </c>
      <c r="H12" s="92">
        <f>F12/566700</f>
        <v>699.39697617787181</v>
      </c>
      <c r="I12" s="215">
        <v>40991</v>
      </c>
      <c r="J12" s="215">
        <v>41112</v>
      </c>
      <c r="K12" s="158" t="s">
        <v>10</v>
      </c>
      <c r="L12" s="167" t="s">
        <v>66</v>
      </c>
      <c r="M12" s="263" t="s">
        <v>164</v>
      </c>
      <c r="N12" s="341">
        <f>+H12+H13+H14+H15</f>
        <v>3339.3213173460381</v>
      </c>
      <c r="O12" s="228"/>
      <c r="P12" s="228"/>
      <c r="Q12" s="323">
        <v>0</v>
      </c>
      <c r="R12" s="323">
        <v>100</v>
      </c>
      <c r="S12" s="264" t="s">
        <v>222</v>
      </c>
      <c r="T12" s="81" t="s">
        <v>203</v>
      </c>
    </row>
    <row r="13" spans="1:20" s="81" customFormat="1" ht="80.25" customHeight="1" x14ac:dyDescent="0.2">
      <c r="A13" s="246"/>
      <c r="B13" s="247">
        <v>2</v>
      </c>
      <c r="C13" s="207" t="s">
        <v>67</v>
      </c>
      <c r="D13" s="77" t="s">
        <v>223</v>
      </c>
      <c r="E13" s="218">
        <v>759199604.39999998</v>
      </c>
      <c r="F13" s="223">
        <f t="shared" ref="F13:F15" si="0">+E13*G13</f>
        <v>455519762.63999999</v>
      </c>
      <c r="G13" s="95">
        <v>0.6</v>
      </c>
      <c r="H13" s="98">
        <f>F13/566700</f>
        <v>803.81112165166758</v>
      </c>
      <c r="I13" s="217">
        <v>40984</v>
      </c>
      <c r="J13" s="217">
        <v>41140</v>
      </c>
      <c r="K13" s="213" t="s">
        <v>10</v>
      </c>
      <c r="L13" s="211" t="s">
        <v>66</v>
      </c>
      <c r="M13" s="98" t="str">
        <f>IF((J13-I13)&gt;120,"CUMPLE")</f>
        <v>CUMPLE</v>
      </c>
      <c r="N13" s="328"/>
      <c r="O13" s="270"/>
      <c r="P13" s="270"/>
      <c r="Q13" s="324"/>
      <c r="R13" s="324"/>
      <c r="S13" s="271" t="s">
        <v>224</v>
      </c>
    </row>
    <row r="14" spans="1:20" s="81" customFormat="1" ht="83.25" customHeight="1" x14ac:dyDescent="0.2">
      <c r="A14" s="246"/>
      <c r="B14" s="247">
        <v>3</v>
      </c>
      <c r="C14" s="207" t="s">
        <v>67</v>
      </c>
      <c r="D14" s="77" t="s">
        <v>68</v>
      </c>
      <c r="E14" s="223">
        <v>939078059</v>
      </c>
      <c r="F14" s="223">
        <f t="shared" si="0"/>
        <v>469539029.5</v>
      </c>
      <c r="G14" s="95">
        <v>0.5</v>
      </c>
      <c r="H14" s="98">
        <f>F14/566700</f>
        <v>828.54954914416794</v>
      </c>
      <c r="I14" s="217">
        <v>40938</v>
      </c>
      <c r="J14" s="217">
        <v>41283</v>
      </c>
      <c r="K14" s="213" t="s">
        <v>10</v>
      </c>
      <c r="L14" s="211" t="s">
        <v>64</v>
      </c>
      <c r="M14" s="98" t="str">
        <f>IF((J14-I14)&gt;120,"CUMPLE")</f>
        <v>CUMPLE</v>
      </c>
      <c r="N14" s="328"/>
      <c r="O14" s="213"/>
      <c r="P14" s="224"/>
      <c r="Q14" s="324"/>
      <c r="R14" s="324"/>
      <c r="S14" s="183" t="s">
        <v>187</v>
      </c>
    </row>
    <row r="15" spans="1:20" s="81" customFormat="1" ht="95.25" customHeight="1" thickBot="1" x14ac:dyDescent="0.25">
      <c r="A15" s="248"/>
      <c r="B15" s="249">
        <v>4</v>
      </c>
      <c r="C15" s="208" t="s">
        <v>67</v>
      </c>
      <c r="D15" s="86" t="s">
        <v>69</v>
      </c>
      <c r="E15" s="220">
        <v>1141972664</v>
      </c>
      <c r="F15" s="226">
        <f t="shared" si="0"/>
        <v>570986332</v>
      </c>
      <c r="G15" s="102">
        <v>0.5</v>
      </c>
      <c r="H15" s="105">
        <f>+F15/566700</f>
        <v>1007.563670372331</v>
      </c>
      <c r="I15" s="219">
        <v>40945</v>
      </c>
      <c r="J15" s="219">
        <v>41236</v>
      </c>
      <c r="K15" s="214" t="s">
        <v>10</v>
      </c>
      <c r="L15" s="212" t="s">
        <v>64</v>
      </c>
      <c r="M15" s="105" t="str">
        <f>IF((J15-I15)&gt;120,"CUMPLE")</f>
        <v>CUMPLE</v>
      </c>
      <c r="N15" s="329"/>
      <c r="O15" s="227"/>
      <c r="P15" s="214"/>
      <c r="Q15" s="325"/>
      <c r="R15" s="325"/>
      <c r="S15" s="157"/>
    </row>
    <row r="16" spans="1:20" ht="15" x14ac:dyDescent="0.2">
      <c r="B16" s="12"/>
      <c r="C16" s="13"/>
      <c r="D16" s="13"/>
      <c r="E16" s="19"/>
      <c r="F16" s="19"/>
      <c r="G16" s="13"/>
      <c r="H16" s="13"/>
      <c r="I16" s="13"/>
      <c r="J16" s="14"/>
      <c r="K16" s="14"/>
      <c r="L16" s="14"/>
      <c r="M16" s="14"/>
      <c r="N16" s="14"/>
      <c r="O16" s="14"/>
      <c r="P16" s="14"/>
      <c r="Q16" s="14"/>
    </row>
    <row r="17" spans="2:18" x14ac:dyDescent="0.2">
      <c r="C17" s="5" t="s">
        <v>30</v>
      </c>
    </row>
    <row r="18" spans="2:18" ht="13.5" thickBot="1" x14ac:dyDescent="0.25">
      <c r="C18" s="5"/>
    </row>
    <row r="19" spans="2:18" ht="29.25" customHeight="1" x14ac:dyDescent="0.2">
      <c r="C19" s="152" t="s">
        <v>57</v>
      </c>
      <c r="D19" s="151"/>
      <c r="E19" s="151"/>
      <c r="F19" s="151"/>
      <c r="G19" s="151"/>
      <c r="H19" s="151"/>
      <c r="I19" s="151"/>
      <c r="K19" s="165"/>
      <c r="L19" s="338" t="s">
        <v>171</v>
      </c>
      <c r="M19" s="339"/>
      <c r="N19" s="339"/>
      <c r="O19" s="339"/>
      <c r="P19" s="339"/>
      <c r="Q19" s="339"/>
      <c r="R19" s="340"/>
    </row>
    <row r="20" spans="2:18" s="151" customFormat="1" ht="24.95" customHeight="1" x14ac:dyDescent="0.2">
      <c r="C20" s="326" t="s">
        <v>175</v>
      </c>
      <c r="D20" s="326"/>
      <c r="E20" s="326"/>
      <c r="F20" s="326"/>
      <c r="G20" s="326"/>
      <c r="H20" s="326"/>
      <c r="K20" s="166"/>
      <c r="L20" s="153" t="s">
        <v>20</v>
      </c>
      <c r="M20" s="155"/>
      <c r="N20" s="281" t="s">
        <v>8</v>
      </c>
      <c r="O20" s="282"/>
      <c r="P20" s="282"/>
      <c r="Q20" s="282"/>
      <c r="R20" s="283"/>
    </row>
    <row r="21" spans="2:18" s="151" customFormat="1" ht="24.95" customHeight="1" x14ac:dyDescent="0.2">
      <c r="C21" s="152" t="s">
        <v>186</v>
      </c>
      <c r="I21"/>
      <c r="K21" s="166"/>
      <c r="L21" s="153" t="s">
        <v>21</v>
      </c>
      <c r="M21" s="155"/>
      <c r="N21" s="281" t="s">
        <v>164</v>
      </c>
      <c r="O21" s="282"/>
      <c r="P21" s="282"/>
      <c r="Q21" s="282"/>
      <c r="R21" s="283"/>
    </row>
    <row r="22" spans="2:18" s="151" customFormat="1" ht="24.95" customHeight="1" thickBot="1" x14ac:dyDescent="0.25">
      <c r="C22" s="152" t="s">
        <v>172</v>
      </c>
      <c r="K22" s="166"/>
      <c r="L22" s="154" t="s">
        <v>149</v>
      </c>
      <c r="M22" s="164"/>
      <c r="N22" s="284" t="s">
        <v>164</v>
      </c>
      <c r="O22" s="285"/>
      <c r="P22" s="285"/>
      <c r="Q22" s="285"/>
      <c r="R22" s="286"/>
    </row>
    <row r="23" spans="2:18" s="151" customFormat="1" ht="35.1" customHeight="1" x14ac:dyDescent="0.2">
      <c r="C23" s="326" t="s">
        <v>179</v>
      </c>
      <c r="D23" s="326"/>
      <c r="E23" s="326"/>
      <c r="F23" s="326"/>
      <c r="G23" s="326"/>
      <c r="H23" s="326"/>
      <c r="I23" s="326"/>
    </row>
    <row r="24" spans="2:18" s="151" customFormat="1" ht="35.1" customHeight="1" x14ac:dyDescent="0.2">
      <c r="C24" s="327" t="s">
        <v>178</v>
      </c>
      <c r="D24" s="327"/>
      <c r="E24" s="327"/>
      <c r="F24" s="327"/>
      <c r="G24" s="327"/>
      <c r="H24" s="327"/>
      <c r="I24" s="327"/>
    </row>
    <row r="25" spans="2:18" ht="18" customHeight="1" x14ac:dyDescent="0.2">
      <c r="C25" s="319" t="s">
        <v>180</v>
      </c>
      <c r="D25" s="319"/>
      <c r="E25" s="319"/>
      <c r="F25" s="319"/>
      <c r="G25" s="319"/>
      <c r="H25" s="319"/>
      <c r="I25" s="319"/>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197</v>
      </c>
    </row>
  </sheetData>
  <mergeCells count="16">
    <mergeCell ref="N12:N15"/>
    <mergeCell ref="Q12:Q15"/>
    <mergeCell ref="R12:R15"/>
    <mergeCell ref="B3:R3"/>
    <mergeCell ref="B4:R4"/>
    <mergeCell ref="B5:R5"/>
    <mergeCell ref="B6:R6"/>
    <mergeCell ref="B10:I10"/>
    <mergeCell ref="C24:I24"/>
    <mergeCell ref="C25:I25"/>
    <mergeCell ref="L19:R19"/>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B6" zoomScale="75" zoomScaleNormal="70" zoomScaleSheetLayoutView="75" workbookViewId="0">
      <selection activeCell="B6" sqref="B6:R6"/>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20" ht="18.75" customHeight="1" x14ac:dyDescent="0.2">
      <c r="B3" s="298" t="str">
        <f>+'Exp. Gen (1)'!B1:R1</f>
        <v>PROCESO VJ-VGC-CM-008-2013</v>
      </c>
      <c r="C3" s="298"/>
      <c r="D3" s="298"/>
      <c r="E3" s="298"/>
      <c r="F3" s="298"/>
      <c r="G3" s="298"/>
      <c r="H3" s="298"/>
      <c r="I3" s="298"/>
      <c r="J3" s="298"/>
      <c r="K3" s="298"/>
      <c r="L3" s="298"/>
      <c r="M3" s="298"/>
      <c r="N3" s="298"/>
      <c r="O3" s="298"/>
      <c r="P3" s="298"/>
      <c r="Q3" s="298"/>
      <c r="R3" s="298"/>
    </row>
    <row r="4" spans="2:20" ht="49.5" customHeight="1" x14ac:dyDescent="0.2">
      <c r="B4" s="298"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8"/>
      <c r="D4" s="298"/>
      <c r="E4" s="298"/>
      <c r="F4" s="298"/>
      <c r="G4" s="298"/>
      <c r="H4" s="298"/>
      <c r="I4" s="298"/>
      <c r="J4" s="298"/>
      <c r="K4" s="298"/>
      <c r="L4" s="298"/>
      <c r="M4" s="298"/>
      <c r="N4" s="298"/>
      <c r="O4" s="298"/>
      <c r="P4" s="298"/>
      <c r="Q4" s="298"/>
      <c r="R4" s="298"/>
    </row>
    <row r="5" spans="2:20" ht="18.75" x14ac:dyDescent="0.2">
      <c r="B5" s="336" t="s">
        <v>29</v>
      </c>
      <c r="C5" s="336"/>
      <c r="D5" s="336"/>
      <c r="E5" s="336"/>
      <c r="F5" s="336"/>
      <c r="G5" s="336"/>
      <c r="H5" s="336"/>
      <c r="I5" s="336"/>
      <c r="J5" s="336"/>
      <c r="K5" s="336"/>
      <c r="L5" s="336"/>
      <c r="M5" s="336"/>
      <c r="N5" s="336"/>
      <c r="O5" s="336"/>
      <c r="P5" s="336"/>
      <c r="Q5" s="336"/>
      <c r="R5" s="336"/>
    </row>
    <row r="6" spans="2:20" ht="18.75" x14ac:dyDescent="0.2">
      <c r="B6" s="336" t="s">
        <v>26</v>
      </c>
      <c r="C6" s="336"/>
      <c r="D6" s="336"/>
      <c r="E6" s="336"/>
      <c r="F6" s="336"/>
      <c r="G6" s="336"/>
      <c r="H6" s="336"/>
      <c r="I6" s="336"/>
      <c r="J6" s="336"/>
      <c r="K6" s="336"/>
      <c r="L6" s="336"/>
      <c r="M6" s="336"/>
      <c r="N6" s="336"/>
      <c r="O6" s="336"/>
      <c r="P6" s="336"/>
      <c r="Q6" s="336"/>
      <c r="R6" s="336"/>
    </row>
    <row r="7" spans="2:20" ht="18.75" x14ac:dyDescent="0.2">
      <c r="B7" s="9"/>
      <c r="C7" s="9"/>
      <c r="D7" s="9"/>
      <c r="E7" s="9"/>
      <c r="F7" s="9"/>
      <c r="G7" s="9"/>
      <c r="H7" s="9"/>
      <c r="I7" s="9"/>
      <c r="J7" s="16"/>
      <c r="K7" s="16"/>
      <c r="L7" s="16"/>
      <c r="M7" s="16"/>
      <c r="N7" s="16"/>
      <c r="O7" s="16"/>
      <c r="P7" s="16"/>
      <c r="Q7" s="16"/>
    </row>
    <row r="8" spans="2:20" ht="21.75" customHeight="1" x14ac:dyDescent="0.2">
      <c r="B8" s="16"/>
      <c r="C8" s="31" t="s">
        <v>34</v>
      </c>
      <c r="D8" s="59" t="str">
        <f>+'Exp. Gen (3)'!D6</f>
        <v>GEICOL S.A.S</v>
      </c>
      <c r="E8" s="59"/>
      <c r="F8" s="59"/>
      <c r="G8" s="59"/>
      <c r="H8" s="59"/>
      <c r="I8" s="31"/>
      <c r="J8" s="31"/>
      <c r="K8" s="31"/>
      <c r="L8" s="31"/>
      <c r="M8" s="31"/>
      <c r="N8" s="31"/>
      <c r="O8" s="31"/>
      <c r="P8" s="31"/>
      <c r="Q8" s="31"/>
    </row>
    <row r="9" spans="2:20" ht="15.75" x14ac:dyDescent="0.2">
      <c r="B9" s="56"/>
      <c r="C9" s="56"/>
      <c r="D9" s="56"/>
      <c r="E9" s="56"/>
      <c r="F9" s="56"/>
      <c r="G9" s="56"/>
      <c r="H9" s="56"/>
      <c r="I9" s="56"/>
      <c r="J9" s="16"/>
      <c r="K9" s="16"/>
      <c r="L9" s="16"/>
      <c r="M9" s="16"/>
      <c r="N9" s="16"/>
      <c r="O9" s="16"/>
      <c r="P9" s="16"/>
      <c r="Q9" s="16"/>
    </row>
    <row r="10" spans="2:20" ht="16.5" thickBot="1" x14ac:dyDescent="0.25">
      <c r="B10" s="337"/>
      <c r="C10" s="337"/>
      <c r="D10" s="337"/>
      <c r="E10" s="337"/>
      <c r="F10" s="337"/>
      <c r="G10" s="337"/>
      <c r="H10" s="337"/>
      <c r="I10" s="337"/>
      <c r="J10" s="16"/>
      <c r="K10" s="16"/>
      <c r="L10" s="16"/>
      <c r="M10" s="16"/>
      <c r="N10" s="16"/>
      <c r="O10" s="16"/>
      <c r="P10" s="16"/>
      <c r="Q10" s="16"/>
    </row>
    <row r="11" spans="2:20" s="15" customFormat="1" ht="105.75" customHeight="1" thickBot="1" x14ac:dyDescent="0.25">
      <c r="B11" s="163"/>
      <c r="C11" s="161" t="s">
        <v>27</v>
      </c>
      <c r="D11" s="161" t="s">
        <v>1</v>
      </c>
      <c r="E11" s="161" t="s">
        <v>28</v>
      </c>
      <c r="F11" s="161" t="s">
        <v>44</v>
      </c>
      <c r="G11" s="161" t="s">
        <v>170</v>
      </c>
      <c r="H11" s="30" t="s">
        <v>7</v>
      </c>
      <c r="I11" s="161" t="s">
        <v>2</v>
      </c>
      <c r="J11" s="161" t="s">
        <v>3</v>
      </c>
      <c r="K11" s="161" t="s">
        <v>4</v>
      </c>
      <c r="L11" s="161" t="s">
        <v>5</v>
      </c>
      <c r="M11" s="161" t="s">
        <v>152</v>
      </c>
      <c r="N11" s="161" t="s">
        <v>20</v>
      </c>
      <c r="O11" s="161" t="s">
        <v>21</v>
      </c>
      <c r="P11" s="161" t="s">
        <v>149</v>
      </c>
      <c r="Q11" s="161" t="s">
        <v>176</v>
      </c>
      <c r="R11" s="161" t="s">
        <v>174</v>
      </c>
      <c r="S11" s="162" t="s">
        <v>38</v>
      </c>
    </row>
    <row r="12" spans="2:20" s="81" customFormat="1" ht="56.25" customHeight="1" x14ac:dyDescent="0.2">
      <c r="B12" s="221">
        <v>1</v>
      </c>
      <c r="C12" s="209" t="s">
        <v>71</v>
      </c>
      <c r="D12" s="184" t="s">
        <v>73</v>
      </c>
      <c r="E12" s="216">
        <v>1811654773</v>
      </c>
      <c r="F12" s="216">
        <f>+E12*G12</f>
        <v>851477743.30999994</v>
      </c>
      <c r="G12" s="90">
        <v>0.47</v>
      </c>
      <c r="H12" s="92">
        <f>F12/332000</f>
        <v>2564.6919979216864</v>
      </c>
      <c r="I12" s="215">
        <v>37733</v>
      </c>
      <c r="J12" s="215">
        <v>37970</v>
      </c>
      <c r="K12" s="158" t="s">
        <v>10</v>
      </c>
      <c r="L12" s="52" t="s">
        <v>72</v>
      </c>
      <c r="M12" s="92" t="str">
        <f>IF((J12-I12)&gt;120,"CUMPLE","NO CUMPLE")</f>
        <v>CUMPLE</v>
      </c>
      <c r="N12" s="341">
        <f>+H12+H13+H14</f>
        <v>4588.5086826303987</v>
      </c>
      <c r="O12" s="228" t="s">
        <v>177</v>
      </c>
      <c r="P12" s="159"/>
      <c r="Q12" s="323">
        <v>0</v>
      </c>
      <c r="R12" s="323">
        <v>100</v>
      </c>
      <c r="S12" s="250" t="s">
        <v>188</v>
      </c>
      <c r="T12" s="81" t="s">
        <v>206</v>
      </c>
    </row>
    <row r="13" spans="2:20" s="81" customFormat="1" ht="56.25" customHeight="1" x14ac:dyDescent="0.2">
      <c r="B13" s="222">
        <v>2</v>
      </c>
      <c r="C13" s="207" t="s">
        <v>71</v>
      </c>
      <c r="D13" s="168" t="s">
        <v>204</v>
      </c>
      <c r="E13" s="218">
        <v>1309834208</v>
      </c>
      <c r="F13" s="223">
        <f>+E13*G13</f>
        <v>615622077.75999999</v>
      </c>
      <c r="G13" s="95">
        <v>0.47</v>
      </c>
      <c r="H13" s="98">
        <f>F13/332000</f>
        <v>1854.2833667469879</v>
      </c>
      <c r="I13" s="217">
        <v>37735</v>
      </c>
      <c r="J13" s="217">
        <v>37970</v>
      </c>
      <c r="K13" s="213" t="s">
        <v>10</v>
      </c>
      <c r="L13" s="211" t="s">
        <v>72</v>
      </c>
      <c r="M13" s="98" t="str">
        <f>IF((J13-I13)&gt;120,"CUMPLE")</f>
        <v>CUMPLE</v>
      </c>
      <c r="N13" s="328"/>
      <c r="O13" s="224"/>
      <c r="P13" s="224"/>
      <c r="Q13" s="324"/>
      <c r="R13" s="324"/>
      <c r="S13" s="183" t="s">
        <v>189</v>
      </c>
    </row>
    <row r="14" spans="2:20" s="81" customFormat="1" ht="83.25" customHeight="1" x14ac:dyDescent="0.2">
      <c r="B14" s="222">
        <v>3</v>
      </c>
      <c r="C14" s="207" t="s">
        <v>71</v>
      </c>
      <c r="D14" s="77" t="s">
        <v>205</v>
      </c>
      <c r="E14" s="218">
        <v>147053200</v>
      </c>
      <c r="F14" s="223">
        <f t="shared" ref="F14:F15" si="0">+E14*G14</f>
        <v>73526600</v>
      </c>
      <c r="G14" s="95">
        <v>0.5</v>
      </c>
      <c r="H14" s="98">
        <f>F14/433700</f>
        <v>169.53331796172469</v>
      </c>
      <c r="I14" s="217">
        <v>39436</v>
      </c>
      <c r="J14" s="217">
        <v>39983</v>
      </c>
      <c r="K14" s="213" t="s">
        <v>10</v>
      </c>
      <c r="L14" s="211" t="s">
        <v>72</v>
      </c>
      <c r="M14" s="98" t="str">
        <f>IF((J14-I14)&gt;120,"CUMPLE")</f>
        <v>CUMPLE</v>
      </c>
      <c r="N14" s="328"/>
      <c r="O14" s="213"/>
      <c r="P14" s="213" t="s">
        <v>177</v>
      </c>
      <c r="Q14" s="324"/>
      <c r="R14" s="324"/>
      <c r="S14" s="183" t="s">
        <v>190</v>
      </c>
      <c r="T14" s="81" t="s">
        <v>207</v>
      </c>
    </row>
    <row r="15" spans="2:20" s="81" customFormat="1" ht="95.25" customHeight="1" thickBot="1" x14ac:dyDescent="0.25">
      <c r="B15" s="225">
        <v>4</v>
      </c>
      <c r="C15" s="208" t="s">
        <v>71</v>
      </c>
      <c r="D15" s="130" t="s">
        <v>74</v>
      </c>
      <c r="E15" s="220">
        <v>302806400</v>
      </c>
      <c r="F15" s="226">
        <f t="shared" si="0"/>
        <v>302806400</v>
      </c>
      <c r="G15" s="102">
        <v>1</v>
      </c>
      <c r="H15" s="105">
        <f>+F15/535600</f>
        <v>565.35922330097083</v>
      </c>
      <c r="I15" s="219">
        <v>40802</v>
      </c>
      <c r="J15" s="219">
        <v>40892</v>
      </c>
      <c r="K15" s="214" t="s">
        <v>10</v>
      </c>
      <c r="L15" s="212" t="s">
        <v>75</v>
      </c>
      <c r="M15" s="265" t="str">
        <f>IF((J15-I15)&gt;120,"CUMPLE","NO CUMPLE")</f>
        <v>NO CUMPLE</v>
      </c>
      <c r="N15" s="186"/>
      <c r="O15" s="227"/>
      <c r="P15" s="214"/>
      <c r="Q15" s="325"/>
      <c r="R15" s="325"/>
      <c r="S15" s="266" t="s">
        <v>212</v>
      </c>
    </row>
    <row r="16" spans="2:20" ht="15" x14ac:dyDescent="0.2">
      <c r="B16" s="12"/>
      <c r="C16" s="13"/>
      <c r="D16" s="13"/>
      <c r="E16" s="19"/>
      <c r="F16" s="19"/>
      <c r="G16" s="13"/>
      <c r="H16" s="13"/>
      <c r="I16" s="13"/>
      <c r="J16" s="14"/>
      <c r="K16" s="14"/>
      <c r="L16" s="14"/>
      <c r="M16" s="14"/>
      <c r="N16" s="14"/>
      <c r="O16" s="14"/>
      <c r="P16" s="14"/>
      <c r="Q16" s="14"/>
    </row>
    <row r="17" spans="2:18" ht="13.5" thickBot="1" x14ac:dyDescent="0.25">
      <c r="C17" s="5" t="s">
        <v>30</v>
      </c>
    </row>
    <row r="18" spans="2:18" ht="12.75" customHeight="1" x14ac:dyDescent="0.2">
      <c r="C18" s="5"/>
      <c r="L18" s="330" t="s">
        <v>214</v>
      </c>
      <c r="M18" s="331"/>
      <c r="N18" s="331"/>
      <c r="O18" s="331"/>
      <c r="P18" s="331"/>
      <c r="Q18" s="331"/>
      <c r="R18" s="332"/>
    </row>
    <row r="19" spans="2:18" ht="29.25" customHeight="1" thickBot="1" x14ac:dyDescent="0.25">
      <c r="C19" s="152" t="s">
        <v>57</v>
      </c>
      <c r="D19" s="151"/>
      <c r="E19" s="151"/>
      <c r="F19" s="151"/>
      <c r="G19" s="151"/>
      <c r="H19" s="151"/>
      <c r="I19" s="151"/>
      <c r="K19" s="165"/>
      <c r="L19" s="333"/>
      <c r="M19" s="334"/>
      <c r="N19" s="334"/>
      <c r="O19" s="334"/>
      <c r="P19" s="334"/>
      <c r="Q19" s="334"/>
      <c r="R19" s="335"/>
    </row>
    <row r="20" spans="2:18" s="151" customFormat="1" ht="24.95" customHeight="1" x14ac:dyDescent="0.2">
      <c r="C20" s="326" t="s">
        <v>175</v>
      </c>
      <c r="D20" s="326"/>
      <c r="E20" s="326"/>
      <c r="F20" s="326"/>
      <c r="G20" s="326"/>
      <c r="H20" s="326"/>
      <c r="K20" s="166"/>
      <c r="L20" s="153" t="s">
        <v>20</v>
      </c>
      <c r="M20" s="155"/>
      <c r="N20" s="281" t="s">
        <v>8</v>
      </c>
      <c r="O20" s="282"/>
      <c r="P20" s="282"/>
      <c r="Q20" s="282"/>
      <c r="R20" s="283"/>
    </row>
    <row r="21" spans="2:18" s="151" customFormat="1" ht="24.95" customHeight="1" x14ac:dyDescent="0.2">
      <c r="C21" s="152" t="s">
        <v>186</v>
      </c>
      <c r="I21"/>
      <c r="K21" s="166"/>
      <c r="L21" s="153" t="s">
        <v>21</v>
      </c>
      <c r="M21" s="155"/>
      <c r="N21" s="281" t="s">
        <v>8</v>
      </c>
      <c r="O21" s="282"/>
      <c r="P21" s="282"/>
      <c r="Q21" s="282"/>
      <c r="R21" s="283"/>
    </row>
    <row r="22" spans="2:18" s="151" customFormat="1" ht="24.95" customHeight="1" thickBot="1" x14ac:dyDescent="0.25">
      <c r="C22" s="152" t="s">
        <v>172</v>
      </c>
      <c r="K22" s="166"/>
      <c r="L22" s="154" t="s">
        <v>149</v>
      </c>
      <c r="M22" s="164"/>
      <c r="N22" s="284" t="s">
        <v>8</v>
      </c>
      <c r="O22" s="285"/>
      <c r="P22" s="285"/>
      <c r="Q22" s="285"/>
      <c r="R22" s="286"/>
    </row>
    <row r="23" spans="2:18" s="151" customFormat="1" ht="35.1" customHeight="1" x14ac:dyDescent="0.2">
      <c r="C23" s="326" t="s">
        <v>179</v>
      </c>
      <c r="D23" s="326"/>
      <c r="E23" s="326"/>
      <c r="F23" s="326"/>
      <c r="G23" s="326"/>
      <c r="H23" s="326"/>
      <c r="I23" s="326"/>
    </row>
    <row r="24" spans="2:18" s="151" customFormat="1" ht="35.1" customHeight="1" x14ac:dyDescent="0.2">
      <c r="C24" s="327" t="s">
        <v>178</v>
      </c>
      <c r="D24" s="327"/>
      <c r="E24" s="327"/>
      <c r="F24" s="327"/>
      <c r="G24" s="327"/>
      <c r="H24" s="327"/>
      <c r="I24" s="327"/>
    </row>
    <row r="25" spans="2:18" ht="18" customHeight="1" x14ac:dyDescent="0.2">
      <c r="C25" s="319" t="s">
        <v>180</v>
      </c>
      <c r="D25" s="319"/>
      <c r="E25" s="319"/>
      <c r="F25" s="319"/>
      <c r="G25" s="319"/>
      <c r="H25" s="319"/>
      <c r="I25" s="319"/>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197</v>
      </c>
    </row>
  </sheetData>
  <mergeCells count="16">
    <mergeCell ref="Q12:Q15"/>
    <mergeCell ref="R12:R15"/>
    <mergeCell ref="B3:R3"/>
    <mergeCell ref="B4:R4"/>
    <mergeCell ref="B5:R5"/>
    <mergeCell ref="B6:R6"/>
    <mergeCell ref="B10:I10"/>
    <mergeCell ref="N12:N14"/>
    <mergeCell ref="L18:R19"/>
    <mergeCell ref="C24:I24"/>
    <mergeCell ref="C25:I25"/>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10" zoomScale="75" zoomScaleNormal="70" zoomScaleSheetLayoutView="75" workbookViewId="0">
      <selection activeCell="S12" sqref="S12"/>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1:20" ht="18.75" customHeight="1" x14ac:dyDescent="0.2">
      <c r="B3" s="298" t="str">
        <f>+'Exp. Gen (1)'!B1:R1</f>
        <v>PROCESO VJ-VGC-CM-008-2013</v>
      </c>
      <c r="C3" s="298"/>
      <c r="D3" s="298"/>
      <c r="E3" s="298"/>
      <c r="F3" s="298"/>
      <c r="G3" s="298"/>
      <c r="H3" s="298"/>
      <c r="I3" s="298"/>
      <c r="J3" s="298"/>
      <c r="K3" s="298"/>
      <c r="L3" s="298"/>
      <c r="M3" s="298"/>
      <c r="N3" s="298"/>
      <c r="O3" s="298"/>
      <c r="P3" s="298"/>
      <c r="Q3" s="298"/>
      <c r="R3" s="298"/>
    </row>
    <row r="4" spans="1:20" ht="49.5" customHeight="1" x14ac:dyDescent="0.2">
      <c r="B4" s="298"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8"/>
      <c r="D4" s="298"/>
      <c r="E4" s="298"/>
      <c r="F4" s="298"/>
      <c r="G4" s="298"/>
      <c r="H4" s="298"/>
      <c r="I4" s="298"/>
      <c r="J4" s="298"/>
      <c r="K4" s="298"/>
      <c r="L4" s="298"/>
      <c r="M4" s="298"/>
      <c r="N4" s="298"/>
      <c r="O4" s="298"/>
      <c r="P4" s="298"/>
      <c r="Q4" s="298"/>
      <c r="R4" s="298"/>
    </row>
    <row r="5" spans="1:20" ht="18.75" x14ac:dyDescent="0.2">
      <c r="B5" s="336" t="s">
        <v>29</v>
      </c>
      <c r="C5" s="336"/>
      <c r="D5" s="336"/>
      <c r="E5" s="336"/>
      <c r="F5" s="336"/>
      <c r="G5" s="336"/>
      <c r="H5" s="336"/>
      <c r="I5" s="336"/>
      <c r="J5" s="336"/>
      <c r="K5" s="336"/>
      <c r="L5" s="336"/>
      <c r="M5" s="336"/>
      <c r="N5" s="336"/>
      <c r="O5" s="336"/>
      <c r="P5" s="336"/>
      <c r="Q5" s="336"/>
      <c r="R5" s="336"/>
    </row>
    <row r="6" spans="1:20" ht="18.75" x14ac:dyDescent="0.2">
      <c r="B6" s="336" t="s">
        <v>26</v>
      </c>
      <c r="C6" s="336"/>
      <c r="D6" s="336"/>
      <c r="E6" s="336"/>
      <c r="F6" s="336"/>
      <c r="G6" s="336"/>
      <c r="H6" s="336"/>
      <c r="I6" s="336"/>
      <c r="J6" s="336"/>
      <c r="K6" s="336"/>
      <c r="L6" s="336"/>
      <c r="M6" s="336"/>
      <c r="N6" s="336"/>
      <c r="O6" s="336"/>
      <c r="P6" s="336"/>
      <c r="Q6" s="336"/>
      <c r="R6" s="336"/>
    </row>
    <row r="7" spans="1:20" ht="18.75" x14ac:dyDescent="0.2">
      <c r="B7" s="9"/>
      <c r="C7" s="9"/>
      <c r="D7" s="9"/>
      <c r="E7" s="9"/>
      <c r="F7" s="9"/>
      <c r="G7" s="9"/>
      <c r="H7" s="9"/>
      <c r="I7" s="9"/>
      <c r="J7" s="16"/>
      <c r="K7" s="16"/>
      <c r="L7" s="16"/>
      <c r="M7" s="16"/>
      <c r="N7" s="16"/>
      <c r="O7" s="16"/>
      <c r="P7" s="16"/>
      <c r="Q7" s="16"/>
    </row>
    <row r="8" spans="1:20" ht="21.75" customHeight="1" x14ac:dyDescent="0.2">
      <c r="B8" s="16"/>
      <c r="C8" s="31" t="s">
        <v>34</v>
      </c>
      <c r="D8" s="59" t="str">
        <f>+'Exp. Gen (4)'!D6</f>
        <v>GEOTECNIA Y CIMENTACIONES S.A.S</v>
      </c>
      <c r="E8" s="59"/>
      <c r="F8" s="59"/>
      <c r="G8" s="59"/>
      <c r="H8" s="59"/>
      <c r="I8" s="31"/>
      <c r="J8" s="31"/>
      <c r="K8" s="31"/>
      <c r="L8" s="31"/>
      <c r="M8" s="31"/>
      <c r="N8" s="31"/>
      <c r="O8" s="31"/>
      <c r="P8" s="31"/>
      <c r="Q8" s="31"/>
    </row>
    <row r="9" spans="1:20" ht="15.75" x14ac:dyDescent="0.2">
      <c r="B9" s="56"/>
      <c r="C9" s="56"/>
      <c r="D9" s="56"/>
      <c r="E9" s="56"/>
      <c r="F9" s="56"/>
      <c r="G9" s="56"/>
      <c r="H9" s="56"/>
      <c r="I9" s="56"/>
      <c r="J9" s="16"/>
      <c r="K9" s="16"/>
      <c r="L9" s="16"/>
      <c r="M9" s="16"/>
      <c r="N9" s="16"/>
      <c r="O9" s="16"/>
      <c r="P9" s="16"/>
      <c r="Q9" s="16"/>
    </row>
    <row r="10" spans="1:20" ht="16.5" thickBot="1" x14ac:dyDescent="0.25">
      <c r="B10" s="337"/>
      <c r="C10" s="337"/>
      <c r="D10" s="337"/>
      <c r="E10" s="337"/>
      <c r="F10" s="337"/>
      <c r="G10" s="337"/>
      <c r="H10" s="337"/>
      <c r="I10" s="337"/>
      <c r="J10" s="16"/>
      <c r="K10" s="16"/>
      <c r="L10" s="16"/>
      <c r="M10" s="16"/>
      <c r="N10" s="16"/>
      <c r="O10" s="16"/>
      <c r="P10" s="16"/>
      <c r="Q10" s="16"/>
    </row>
    <row r="11" spans="1:20" s="15" customFormat="1" ht="105.75" customHeight="1" thickBot="1" x14ac:dyDescent="0.25">
      <c r="B11" s="163"/>
      <c r="C11" s="161" t="s">
        <v>27</v>
      </c>
      <c r="D11" s="161" t="s">
        <v>1</v>
      </c>
      <c r="E11" s="161" t="s">
        <v>28</v>
      </c>
      <c r="F11" s="161" t="s">
        <v>44</v>
      </c>
      <c r="G11" s="161" t="s">
        <v>170</v>
      </c>
      <c r="H11" s="30" t="s">
        <v>7</v>
      </c>
      <c r="I11" s="161" t="s">
        <v>2</v>
      </c>
      <c r="J11" s="161" t="s">
        <v>3</v>
      </c>
      <c r="K11" s="161" t="s">
        <v>4</v>
      </c>
      <c r="L11" s="161" t="s">
        <v>5</v>
      </c>
      <c r="M11" s="161" t="s">
        <v>152</v>
      </c>
      <c r="N11" s="161" t="s">
        <v>20</v>
      </c>
      <c r="O11" s="161" t="s">
        <v>21</v>
      </c>
      <c r="P11" s="161" t="s">
        <v>149</v>
      </c>
      <c r="Q11" s="161" t="s">
        <v>176</v>
      </c>
      <c r="R11" s="161" t="s">
        <v>174</v>
      </c>
      <c r="S11" s="162" t="s">
        <v>38</v>
      </c>
    </row>
    <row r="12" spans="1:20" s="81" customFormat="1" ht="71.25" customHeight="1" x14ac:dyDescent="0.2">
      <c r="A12" s="241"/>
      <c r="B12" s="242">
        <v>1</v>
      </c>
      <c r="C12" s="209" t="s">
        <v>76</v>
      </c>
      <c r="D12" s="243" t="s">
        <v>80</v>
      </c>
      <c r="E12" s="244">
        <v>430160248</v>
      </c>
      <c r="F12" s="216">
        <f>+E12*G12</f>
        <v>129048074.39999999</v>
      </c>
      <c r="G12" s="245">
        <v>0.3</v>
      </c>
      <c r="H12" s="92">
        <f>F12/381500</f>
        <v>338.26493944954126</v>
      </c>
      <c r="I12" s="113">
        <v>38712</v>
      </c>
      <c r="J12" s="113">
        <v>38964</v>
      </c>
      <c r="K12" s="158" t="s">
        <v>10</v>
      </c>
      <c r="L12" s="243" t="s">
        <v>79</v>
      </c>
      <c r="M12" s="92" t="str">
        <f>IF((J12-I12)&gt;120,"CUMPLE","NO CUMPLE")</f>
        <v>CUMPLE</v>
      </c>
      <c r="N12" s="341">
        <f>+H12+H13+H14+H15</f>
        <v>7028.1517845269582</v>
      </c>
      <c r="O12" s="228" t="s">
        <v>177</v>
      </c>
      <c r="P12" s="159"/>
      <c r="Q12" s="323">
        <v>0</v>
      </c>
      <c r="R12" s="323">
        <v>100</v>
      </c>
      <c r="S12" s="127"/>
      <c r="T12" s="81" t="s">
        <v>208</v>
      </c>
    </row>
    <row r="13" spans="1:20" s="81" customFormat="1" ht="115.5" customHeight="1" x14ac:dyDescent="0.2">
      <c r="A13" s="246"/>
      <c r="B13" s="247">
        <v>2</v>
      </c>
      <c r="C13" s="207" t="s">
        <v>76</v>
      </c>
      <c r="D13" s="171" t="s">
        <v>81</v>
      </c>
      <c r="E13" s="169">
        <v>1569285394</v>
      </c>
      <c r="F13" s="223">
        <f t="shared" ref="F13:F15" si="0">+E13*G13</f>
        <v>1569285394</v>
      </c>
      <c r="G13" s="73">
        <v>1</v>
      </c>
      <c r="H13" s="98">
        <f>F13/433700</f>
        <v>3618.3661378833294</v>
      </c>
      <c r="I13" s="71">
        <v>39218</v>
      </c>
      <c r="J13" s="71">
        <v>40081</v>
      </c>
      <c r="K13" s="235" t="s">
        <v>10</v>
      </c>
      <c r="L13" s="211" t="s">
        <v>83</v>
      </c>
      <c r="M13" s="98" t="str">
        <f>IF((J13-I13)&gt;120,"CUMPLE")</f>
        <v>CUMPLE</v>
      </c>
      <c r="N13" s="328"/>
      <c r="O13" s="224"/>
      <c r="P13" s="191"/>
      <c r="Q13" s="324"/>
      <c r="R13" s="324"/>
      <c r="S13" s="160"/>
    </row>
    <row r="14" spans="1:20" s="81" customFormat="1" ht="94.5" customHeight="1" x14ac:dyDescent="0.2">
      <c r="A14" s="246"/>
      <c r="B14" s="247">
        <v>3</v>
      </c>
      <c r="C14" s="207" t="s">
        <v>76</v>
      </c>
      <c r="D14" s="171" t="s">
        <v>78</v>
      </c>
      <c r="E14" s="116">
        <v>822497830</v>
      </c>
      <c r="F14" s="223">
        <f t="shared" si="0"/>
        <v>16449956.6</v>
      </c>
      <c r="G14" s="73">
        <v>0.02</v>
      </c>
      <c r="H14" s="98">
        <f>F14/433700</f>
        <v>37.929344247175464</v>
      </c>
      <c r="I14" s="71">
        <v>39148</v>
      </c>
      <c r="J14" s="71">
        <v>40072</v>
      </c>
      <c r="K14" s="213" t="s">
        <v>10</v>
      </c>
      <c r="L14" s="211" t="s">
        <v>64</v>
      </c>
      <c r="M14" s="98" t="str">
        <f>IF((J14-I14)&gt;120,"CUMPLE")</f>
        <v>CUMPLE</v>
      </c>
      <c r="N14" s="328"/>
      <c r="O14" s="213"/>
      <c r="P14" s="224"/>
      <c r="Q14" s="324"/>
      <c r="R14" s="324"/>
      <c r="S14" s="156"/>
    </row>
    <row r="15" spans="1:20" s="81" customFormat="1" ht="95.25" customHeight="1" thickBot="1" x14ac:dyDescent="0.25">
      <c r="A15" s="248"/>
      <c r="B15" s="249">
        <v>4</v>
      </c>
      <c r="C15" s="208" t="s">
        <v>76</v>
      </c>
      <c r="D15" s="190" t="s">
        <v>82</v>
      </c>
      <c r="E15" s="170">
        <v>1400002414</v>
      </c>
      <c r="F15" s="226">
        <f t="shared" si="0"/>
        <v>1400002414</v>
      </c>
      <c r="G15" s="74">
        <v>1</v>
      </c>
      <c r="H15" s="105">
        <f>+F15/461500</f>
        <v>3033.5913629469123</v>
      </c>
      <c r="I15" s="75">
        <v>39560</v>
      </c>
      <c r="J15" s="75">
        <v>40378</v>
      </c>
      <c r="K15" s="214" t="s">
        <v>10</v>
      </c>
      <c r="L15" s="212" t="s">
        <v>84</v>
      </c>
      <c r="M15" s="105" t="str">
        <f>IF((J15-I15)&gt;120,"CUMPLE")</f>
        <v>CUMPLE</v>
      </c>
      <c r="N15" s="329"/>
      <c r="O15" s="227"/>
      <c r="P15" s="214"/>
      <c r="Q15" s="325"/>
      <c r="R15" s="325"/>
      <c r="S15" s="185" t="s">
        <v>191</v>
      </c>
    </row>
    <row r="16" spans="1:20" ht="15" x14ac:dyDescent="0.2">
      <c r="B16" s="12"/>
      <c r="C16" s="13"/>
      <c r="D16" s="13"/>
      <c r="E16" s="19"/>
      <c r="F16" s="19"/>
      <c r="G16" s="13"/>
      <c r="H16" s="13"/>
      <c r="I16" s="13"/>
      <c r="J16" s="14"/>
      <c r="K16" s="14"/>
      <c r="L16" s="14"/>
      <c r="M16" s="14"/>
      <c r="N16" s="14"/>
      <c r="O16" s="14"/>
      <c r="P16" s="14"/>
      <c r="Q16" s="14"/>
    </row>
    <row r="17" spans="2:18" ht="13.5" thickBot="1" x14ac:dyDescent="0.25">
      <c r="C17" s="5" t="s">
        <v>30</v>
      </c>
    </row>
    <row r="18" spans="2:18" ht="12.75" customHeight="1" x14ac:dyDescent="0.2">
      <c r="C18" s="5"/>
      <c r="L18" s="330" t="s">
        <v>214</v>
      </c>
      <c r="M18" s="331"/>
      <c r="N18" s="331"/>
      <c r="O18" s="331"/>
      <c r="P18" s="331"/>
      <c r="Q18" s="331"/>
      <c r="R18" s="332"/>
    </row>
    <row r="19" spans="2:18" ht="29.25" customHeight="1" thickBot="1" x14ac:dyDescent="0.25">
      <c r="C19" s="152" t="s">
        <v>57</v>
      </c>
      <c r="D19" s="151"/>
      <c r="E19" s="151"/>
      <c r="F19" s="151"/>
      <c r="G19" s="151"/>
      <c r="H19" s="151"/>
      <c r="I19" s="151"/>
      <c r="K19" s="165"/>
      <c r="L19" s="333"/>
      <c r="M19" s="334"/>
      <c r="N19" s="334"/>
      <c r="O19" s="334"/>
      <c r="P19" s="334"/>
      <c r="Q19" s="334"/>
      <c r="R19" s="335"/>
    </row>
    <row r="20" spans="2:18" s="151" customFormat="1" ht="24.95" customHeight="1" x14ac:dyDescent="0.2">
      <c r="C20" s="326" t="s">
        <v>175</v>
      </c>
      <c r="D20" s="326"/>
      <c r="E20" s="326"/>
      <c r="F20" s="326"/>
      <c r="G20" s="326"/>
      <c r="H20" s="326"/>
      <c r="K20" s="166"/>
      <c r="L20" s="153" t="s">
        <v>20</v>
      </c>
      <c r="M20" s="155"/>
      <c r="N20" s="281" t="s">
        <v>8</v>
      </c>
      <c r="O20" s="282"/>
      <c r="P20" s="282"/>
      <c r="Q20" s="282"/>
      <c r="R20" s="283"/>
    </row>
    <row r="21" spans="2:18" s="151" customFormat="1" ht="24.95" customHeight="1" x14ac:dyDescent="0.2">
      <c r="C21" s="152" t="s">
        <v>186</v>
      </c>
      <c r="I21"/>
      <c r="K21" s="166"/>
      <c r="L21" s="153" t="s">
        <v>21</v>
      </c>
      <c r="M21" s="155"/>
      <c r="N21" s="281" t="s">
        <v>8</v>
      </c>
      <c r="O21" s="282"/>
      <c r="P21" s="282"/>
      <c r="Q21" s="282"/>
      <c r="R21" s="283"/>
    </row>
    <row r="22" spans="2:18" s="151" customFormat="1" ht="24.95" customHeight="1" thickBot="1" x14ac:dyDescent="0.25">
      <c r="C22" s="152" t="s">
        <v>172</v>
      </c>
      <c r="K22" s="166"/>
      <c r="L22" s="154" t="s">
        <v>149</v>
      </c>
      <c r="M22" s="164"/>
      <c r="N22" s="284" t="s">
        <v>164</v>
      </c>
      <c r="O22" s="285"/>
      <c r="P22" s="285"/>
      <c r="Q22" s="285"/>
      <c r="R22" s="286"/>
    </row>
    <row r="23" spans="2:18" s="151" customFormat="1" ht="35.1" customHeight="1" x14ac:dyDescent="0.2">
      <c r="C23" s="326" t="s">
        <v>179</v>
      </c>
      <c r="D23" s="326"/>
      <c r="E23" s="326"/>
      <c r="F23" s="326"/>
      <c r="G23" s="326"/>
      <c r="H23" s="326"/>
      <c r="I23" s="326"/>
    </row>
    <row r="24" spans="2:18" s="151" customFormat="1" ht="35.1" customHeight="1" x14ac:dyDescent="0.2">
      <c r="C24" s="327" t="s">
        <v>178</v>
      </c>
      <c r="D24" s="327"/>
      <c r="E24" s="327"/>
      <c r="F24" s="327"/>
      <c r="G24" s="327"/>
      <c r="H24" s="327"/>
      <c r="I24" s="327"/>
    </row>
    <row r="25" spans="2:18" ht="18" customHeight="1" x14ac:dyDescent="0.2">
      <c r="C25" s="319" t="s">
        <v>180</v>
      </c>
      <c r="D25" s="319"/>
      <c r="E25" s="319"/>
      <c r="F25" s="319"/>
      <c r="G25" s="319"/>
      <c r="H25" s="319"/>
      <c r="I25" s="319"/>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197</v>
      </c>
    </row>
  </sheetData>
  <mergeCells count="16">
    <mergeCell ref="N12:N15"/>
    <mergeCell ref="Q12:Q15"/>
    <mergeCell ref="R12:R15"/>
    <mergeCell ref="B3:R3"/>
    <mergeCell ref="B4:R4"/>
    <mergeCell ref="B5:R5"/>
    <mergeCell ref="B6:R6"/>
    <mergeCell ref="B10:I10"/>
    <mergeCell ref="L18:R19"/>
    <mergeCell ref="C24:I24"/>
    <mergeCell ref="C25:I25"/>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1"/>
  <sheetViews>
    <sheetView view="pageBreakPreview" topLeftCell="F11" zoomScale="75" zoomScaleNormal="70" zoomScaleSheetLayoutView="75" workbookViewId="0">
      <selection activeCell="M12" sqref="M12"/>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19" ht="18.75" customHeight="1" x14ac:dyDescent="0.2">
      <c r="B3" s="298" t="str">
        <f>+'Exp. Gen (1)'!B1:R1</f>
        <v>PROCESO VJ-VGC-CM-008-2013</v>
      </c>
      <c r="C3" s="298"/>
      <c r="D3" s="298"/>
      <c r="E3" s="298"/>
      <c r="F3" s="298"/>
      <c r="G3" s="298"/>
      <c r="H3" s="298"/>
      <c r="I3" s="298"/>
      <c r="J3" s="298"/>
      <c r="K3" s="298"/>
      <c r="L3" s="298"/>
      <c r="M3" s="298"/>
      <c r="N3" s="298"/>
      <c r="O3" s="298"/>
      <c r="P3" s="298"/>
      <c r="Q3" s="298"/>
      <c r="R3" s="298"/>
    </row>
    <row r="4" spans="2:19" ht="49.5" customHeight="1" x14ac:dyDescent="0.2">
      <c r="B4" s="298"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8"/>
      <c r="D4" s="298"/>
      <c r="E4" s="298"/>
      <c r="F4" s="298"/>
      <c r="G4" s="298"/>
      <c r="H4" s="298"/>
      <c r="I4" s="298"/>
      <c r="J4" s="298"/>
      <c r="K4" s="298"/>
      <c r="L4" s="298"/>
      <c r="M4" s="298"/>
      <c r="N4" s="298"/>
      <c r="O4" s="298"/>
      <c r="P4" s="298"/>
      <c r="Q4" s="298"/>
      <c r="R4" s="298"/>
    </row>
    <row r="5" spans="2:19" ht="18.75" x14ac:dyDescent="0.2">
      <c r="B5" s="336" t="s">
        <v>29</v>
      </c>
      <c r="C5" s="336"/>
      <c r="D5" s="336"/>
      <c r="E5" s="336"/>
      <c r="F5" s="336"/>
      <c r="G5" s="336"/>
      <c r="H5" s="336"/>
      <c r="I5" s="336"/>
      <c r="J5" s="336"/>
      <c r="K5" s="336"/>
      <c r="L5" s="336"/>
      <c r="M5" s="336"/>
      <c r="N5" s="336"/>
      <c r="O5" s="336"/>
      <c r="P5" s="336"/>
      <c r="Q5" s="336"/>
      <c r="R5" s="336"/>
    </row>
    <row r="6" spans="2:19" ht="18.75" x14ac:dyDescent="0.2">
      <c r="B6" s="336" t="s">
        <v>26</v>
      </c>
      <c r="C6" s="336"/>
      <c r="D6" s="336"/>
      <c r="E6" s="336"/>
      <c r="F6" s="336"/>
      <c r="G6" s="336"/>
      <c r="H6" s="336"/>
      <c r="I6" s="336"/>
      <c r="J6" s="336"/>
      <c r="K6" s="336"/>
      <c r="L6" s="336"/>
      <c r="M6" s="336"/>
      <c r="N6" s="336"/>
      <c r="O6" s="336"/>
      <c r="P6" s="336"/>
      <c r="Q6" s="336"/>
      <c r="R6" s="336"/>
    </row>
    <row r="7" spans="2:19" ht="18.75" x14ac:dyDescent="0.2">
      <c r="B7" s="9"/>
      <c r="C7" s="9"/>
      <c r="D7" s="9"/>
      <c r="E7" s="9"/>
      <c r="F7" s="9"/>
      <c r="G7" s="9"/>
      <c r="H7" s="9"/>
      <c r="I7" s="9"/>
      <c r="J7" s="16"/>
      <c r="K7" s="16"/>
      <c r="L7" s="16"/>
      <c r="M7" s="16"/>
      <c r="N7" s="16"/>
      <c r="O7" s="16"/>
      <c r="P7" s="16"/>
      <c r="Q7" s="16"/>
    </row>
    <row r="8" spans="2:19" ht="21.75" customHeight="1" x14ac:dyDescent="0.2">
      <c r="B8" s="16"/>
      <c r="C8" s="31" t="s">
        <v>34</v>
      </c>
      <c r="D8" s="59" t="str">
        <f>+'Exp. Gen (5)'!D6</f>
        <v>C.I.C CONSULTORES DE INGENIERIA S.A.S</v>
      </c>
      <c r="E8" s="59"/>
      <c r="F8" s="59"/>
      <c r="G8" s="59"/>
      <c r="H8" s="59"/>
      <c r="I8" s="31"/>
      <c r="J8" s="31"/>
      <c r="K8" s="31"/>
      <c r="L8" s="31"/>
      <c r="M8" s="31"/>
      <c r="N8" s="31"/>
      <c r="O8" s="31"/>
      <c r="P8" s="31"/>
      <c r="Q8" s="31"/>
    </row>
    <row r="9" spans="2:19" ht="15.75" x14ac:dyDescent="0.2">
      <c r="B9" s="56"/>
      <c r="C9" s="56"/>
      <c r="D9" s="56"/>
      <c r="E9" s="56"/>
      <c r="F9" s="56"/>
      <c r="G9" s="56"/>
      <c r="H9" s="56"/>
      <c r="I9" s="56"/>
      <c r="J9" s="16"/>
      <c r="K9" s="16"/>
      <c r="L9" s="16"/>
      <c r="M9" s="16"/>
      <c r="N9" s="16"/>
      <c r="O9" s="16"/>
      <c r="P9" s="16"/>
      <c r="Q9" s="16"/>
    </row>
    <row r="10" spans="2:19" ht="16.5" thickBot="1" x14ac:dyDescent="0.25">
      <c r="B10" s="337"/>
      <c r="C10" s="337"/>
      <c r="D10" s="337"/>
      <c r="E10" s="337"/>
      <c r="F10" s="337"/>
      <c r="G10" s="337"/>
      <c r="H10" s="337"/>
      <c r="I10" s="337"/>
      <c r="J10" s="16"/>
      <c r="K10" s="16"/>
      <c r="L10" s="16"/>
      <c r="M10" s="16"/>
      <c r="N10" s="16"/>
      <c r="O10" s="16"/>
      <c r="P10" s="16"/>
      <c r="Q10" s="16"/>
    </row>
    <row r="11" spans="2:19" s="15" customFormat="1" ht="105.75" customHeight="1" thickBot="1" x14ac:dyDescent="0.25">
      <c r="B11" s="163"/>
      <c r="C11" s="161" t="s">
        <v>27</v>
      </c>
      <c r="D11" s="161" t="s">
        <v>1</v>
      </c>
      <c r="E11" s="161" t="s">
        <v>28</v>
      </c>
      <c r="F11" s="161" t="s">
        <v>44</v>
      </c>
      <c r="G11" s="161" t="s">
        <v>170</v>
      </c>
      <c r="H11" s="30" t="s">
        <v>7</v>
      </c>
      <c r="I11" s="161" t="s">
        <v>2</v>
      </c>
      <c r="J11" s="161" t="s">
        <v>3</v>
      </c>
      <c r="K11" s="161" t="s">
        <v>4</v>
      </c>
      <c r="L11" s="161" t="s">
        <v>5</v>
      </c>
      <c r="M11" s="272" t="s">
        <v>152</v>
      </c>
      <c r="N11" s="161" t="s">
        <v>20</v>
      </c>
      <c r="O11" s="161" t="s">
        <v>21</v>
      </c>
      <c r="P11" s="161" t="s">
        <v>149</v>
      </c>
      <c r="Q11" s="161" t="s">
        <v>176</v>
      </c>
      <c r="R11" s="161" t="s">
        <v>174</v>
      </c>
      <c r="S11" s="162" t="s">
        <v>38</v>
      </c>
    </row>
    <row r="12" spans="2:19" s="81" customFormat="1" ht="83.25" customHeight="1" x14ac:dyDescent="0.2">
      <c r="B12" s="221">
        <v>1</v>
      </c>
      <c r="C12" s="209" t="s">
        <v>85</v>
      </c>
      <c r="D12" s="117" t="s">
        <v>89</v>
      </c>
      <c r="E12" s="239">
        <f>219995678.39</f>
        <v>219995678.38999999</v>
      </c>
      <c r="F12" s="216">
        <f>+E12*G12</f>
        <v>219995678.38999999</v>
      </c>
      <c r="G12" s="90">
        <v>1</v>
      </c>
      <c r="H12" s="92">
        <f>F12/98700</f>
        <v>2228.9329117527859</v>
      </c>
      <c r="I12" s="215">
        <v>34697</v>
      </c>
      <c r="J12" s="215">
        <v>34811</v>
      </c>
      <c r="K12" s="158" t="s">
        <v>10</v>
      </c>
      <c r="L12" s="240" t="s">
        <v>66</v>
      </c>
      <c r="M12" s="273" t="str">
        <f>IF((J12-I12)&gt;120,"CUMPLE","NO CUMPLE")</f>
        <v>NO CUMPLE</v>
      </c>
      <c r="N12" s="341">
        <f>+H13+H14+H15+H12</f>
        <v>7464.6282709178622</v>
      </c>
      <c r="O12" s="159"/>
      <c r="P12" s="228"/>
      <c r="Q12" s="323">
        <v>0</v>
      </c>
      <c r="R12" s="323">
        <v>100</v>
      </c>
      <c r="S12" s="264" t="s">
        <v>225</v>
      </c>
    </row>
    <row r="13" spans="2:19" s="81" customFormat="1" ht="115.5" customHeight="1" x14ac:dyDescent="0.2">
      <c r="B13" s="222">
        <v>2</v>
      </c>
      <c r="C13" s="207" t="s">
        <v>85</v>
      </c>
      <c r="D13" s="77" t="s">
        <v>86</v>
      </c>
      <c r="E13" s="172">
        <f>739243787</f>
        <v>739243787</v>
      </c>
      <c r="F13" s="223">
        <f t="shared" ref="F13:F15" si="0">+E13*G13</f>
        <v>739243787</v>
      </c>
      <c r="G13" s="95">
        <v>1</v>
      </c>
      <c r="H13" s="98">
        <f>F13/566700</f>
        <v>1304.4711258161285</v>
      </c>
      <c r="I13" s="217">
        <v>41118</v>
      </c>
      <c r="J13" s="217">
        <v>41331</v>
      </c>
      <c r="K13" s="235" t="s">
        <v>10</v>
      </c>
      <c r="L13" s="174" t="s">
        <v>88</v>
      </c>
      <c r="M13" s="98" t="str">
        <f>IF((J13-I13)&gt;120,"CUMPLE")</f>
        <v>CUMPLE</v>
      </c>
      <c r="N13" s="328"/>
      <c r="O13" s="224"/>
      <c r="P13" s="213" t="s">
        <v>177</v>
      </c>
      <c r="Q13" s="324"/>
      <c r="R13" s="324"/>
      <c r="S13" s="183" t="s">
        <v>192</v>
      </c>
    </row>
    <row r="14" spans="2:19" s="81" customFormat="1" ht="94.5" customHeight="1" x14ac:dyDescent="0.2">
      <c r="B14" s="222">
        <v>3</v>
      </c>
      <c r="C14" s="207" t="s">
        <v>85</v>
      </c>
      <c r="D14" s="77" t="s">
        <v>87</v>
      </c>
      <c r="E14" s="172">
        <f>72172952</f>
        <v>72172952</v>
      </c>
      <c r="F14" s="223">
        <f t="shared" si="0"/>
        <v>72172952</v>
      </c>
      <c r="G14" s="95">
        <v>1</v>
      </c>
      <c r="H14" s="98">
        <f>F14/172005</f>
        <v>419.59798843056888</v>
      </c>
      <c r="I14" s="217">
        <v>35606</v>
      </c>
      <c r="J14" s="217">
        <v>35728</v>
      </c>
      <c r="K14" s="213" t="s">
        <v>10</v>
      </c>
      <c r="L14" s="174" t="s">
        <v>66</v>
      </c>
      <c r="M14" s="98" t="str">
        <f>IF((J14-I14)&gt;120,"CUMPLE")</f>
        <v>CUMPLE</v>
      </c>
      <c r="N14" s="328"/>
      <c r="O14" s="213"/>
      <c r="P14" s="213"/>
      <c r="Q14" s="324"/>
      <c r="R14" s="324"/>
      <c r="S14" s="183" t="s">
        <v>192</v>
      </c>
    </row>
    <row r="15" spans="2:19" s="81" customFormat="1" ht="95.25" customHeight="1" thickBot="1" x14ac:dyDescent="0.25">
      <c r="B15" s="225">
        <v>4</v>
      </c>
      <c r="C15" s="208" t="s">
        <v>85</v>
      </c>
      <c r="D15" s="130" t="s">
        <v>90</v>
      </c>
      <c r="E15" s="173">
        <f>835300000</f>
        <v>835300000</v>
      </c>
      <c r="F15" s="226">
        <f t="shared" si="0"/>
        <v>417650000</v>
      </c>
      <c r="G15" s="102">
        <v>0.5</v>
      </c>
      <c r="H15" s="105">
        <f>+F15/118933.5</f>
        <v>3511.6262449183787</v>
      </c>
      <c r="I15" s="219">
        <v>35002</v>
      </c>
      <c r="J15" s="219">
        <v>35612</v>
      </c>
      <c r="K15" s="214" t="s">
        <v>10</v>
      </c>
      <c r="L15" s="175" t="s">
        <v>43</v>
      </c>
      <c r="M15" s="105" t="str">
        <f>IF((J15-I15)&gt;120,"CUMPLE")</f>
        <v>CUMPLE</v>
      </c>
      <c r="N15" s="329"/>
      <c r="O15" s="214" t="s">
        <v>177</v>
      </c>
      <c r="P15" s="214"/>
      <c r="Q15" s="325"/>
      <c r="R15" s="325"/>
      <c r="S15" s="185" t="s">
        <v>192</v>
      </c>
    </row>
    <row r="16" spans="2:19" ht="15" x14ac:dyDescent="0.2">
      <c r="B16" s="12"/>
      <c r="C16" s="13"/>
      <c r="D16" s="13"/>
      <c r="E16" s="19"/>
      <c r="F16" s="19"/>
      <c r="G16" s="13"/>
      <c r="H16" s="13"/>
      <c r="I16" s="13"/>
      <c r="J16" s="14"/>
      <c r="K16" s="14"/>
      <c r="L16" s="14"/>
      <c r="M16" s="14"/>
      <c r="N16" s="14"/>
      <c r="O16" s="14"/>
      <c r="P16" s="14"/>
      <c r="Q16" s="14"/>
    </row>
    <row r="17" spans="2:18" x14ac:dyDescent="0.2">
      <c r="C17" s="5" t="s">
        <v>30</v>
      </c>
    </row>
    <row r="18" spans="2:18" ht="13.5" thickBot="1" x14ac:dyDescent="0.25">
      <c r="C18" s="5"/>
    </row>
    <row r="19" spans="2:18" ht="29.25" customHeight="1" x14ac:dyDescent="0.2">
      <c r="C19" s="152" t="s">
        <v>57</v>
      </c>
      <c r="D19" s="151"/>
      <c r="E19" s="151"/>
      <c r="F19" s="151"/>
      <c r="G19" s="151"/>
      <c r="H19" s="151"/>
      <c r="I19" s="151"/>
      <c r="K19" s="165"/>
      <c r="L19" s="338" t="s">
        <v>171</v>
      </c>
      <c r="M19" s="339"/>
      <c r="N19" s="339"/>
      <c r="O19" s="339"/>
      <c r="P19" s="339"/>
      <c r="Q19" s="339"/>
      <c r="R19" s="340"/>
    </row>
    <row r="20" spans="2:18" s="151" customFormat="1" ht="24.95" customHeight="1" x14ac:dyDescent="0.2">
      <c r="C20" s="326" t="s">
        <v>175</v>
      </c>
      <c r="D20" s="326"/>
      <c r="E20" s="326"/>
      <c r="F20" s="326"/>
      <c r="G20" s="326"/>
      <c r="H20" s="326"/>
      <c r="K20" s="166"/>
      <c r="L20" s="153" t="s">
        <v>20</v>
      </c>
      <c r="M20" s="155"/>
      <c r="N20" s="281" t="s">
        <v>8</v>
      </c>
      <c r="O20" s="282"/>
      <c r="P20" s="282"/>
      <c r="Q20" s="282"/>
      <c r="R20" s="283"/>
    </row>
    <row r="21" spans="2:18" s="151" customFormat="1" ht="24.95" customHeight="1" x14ac:dyDescent="0.2">
      <c r="C21" s="152" t="s">
        <v>186</v>
      </c>
      <c r="I21"/>
      <c r="K21" s="166"/>
      <c r="L21" s="153" t="s">
        <v>21</v>
      </c>
      <c r="M21" s="155"/>
      <c r="N21" s="281" t="s">
        <v>8</v>
      </c>
      <c r="O21" s="282"/>
      <c r="P21" s="282"/>
      <c r="Q21" s="282"/>
      <c r="R21" s="283"/>
    </row>
    <row r="22" spans="2:18" s="151" customFormat="1" ht="24.95" customHeight="1" thickBot="1" x14ac:dyDescent="0.25">
      <c r="C22" s="152" t="s">
        <v>172</v>
      </c>
      <c r="K22" s="166"/>
      <c r="L22" s="154" t="s">
        <v>149</v>
      </c>
      <c r="M22" s="164"/>
      <c r="N22" s="284" t="s">
        <v>8</v>
      </c>
      <c r="O22" s="285"/>
      <c r="P22" s="285"/>
      <c r="Q22" s="285"/>
      <c r="R22" s="286"/>
    </row>
    <row r="23" spans="2:18" s="151" customFormat="1" ht="35.1" customHeight="1" x14ac:dyDescent="0.2">
      <c r="C23" s="326" t="s">
        <v>179</v>
      </c>
      <c r="D23" s="326"/>
      <c r="E23" s="326"/>
      <c r="F23" s="326"/>
      <c r="G23" s="326"/>
      <c r="H23" s="326"/>
      <c r="I23" s="326"/>
    </row>
    <row r="24" spans="2:18" s="151" customFormat="1" ht="35.1" customHeight="1" x14ac:dyDescent="0.2">
      <c r="C24" s="327" t="s">
        <v>178</v>
      </c>
      <c r="D24" s="327"/>
      <c r="E24" s="327"/>
      <c r="F24" s="327"/>
      <c r="G24" s="327"/>
      <c r="H24" s="327"/>
      <c r="I24" s="327"/>
    </row>
    <row r="25" spans="2:18" ht="18" customHeight="1" x14ac:dyDescent="0.2">
      <c r="C25" s="319" t="s">
        <v>180</v>
      </c>
      <c r="D25" s="319"/>
      <c r="E25" s="319"/>
      <c r="F25" s="319"/>
      <c r="G25" s="319"/>
      <c r="H25" s="319"/>
      <c r="I25" s="319"/>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197</v>
      </c>
    </row>
  </sheetData>
  <mergeCells count="16">
    <mergeCell ref="Q12:Q15"/>
    <mergeCell ref="R12:R15"/>
    <mergeCell ref="B3:R3"/>
    <mergeCell ref="B4:R4"/>
    <mergeCell ref="B5:R5"/>
    <mergeCell ref="B6:R6"/>
    <mergeCell ref="B10:I10"/>
    <mergeCell ref="N12:N15"/>
    <mergeCell ref="C24:I24"/>
    <mergeCell ref="C25:I25"/>
    <mergeCell ref="L19:R19"/>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S31"/>
  <sheetViews>
    <sheetView view="pageBreakPreview" topLeftCell="F11" zoomScale="75" zoomScaleNormal="70" zoomScaleSheetLayoutView="75" workbookViewId="0">
      <selection activeCell="S15" sqref="S15"/>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19" ht="18.75" customHeight="1" x14ac:dyDescent="0.2">
      <c r="B3" s="298" t="str">
        <f>+'Exp. Gen (1)'!B1:R1</f>
        <v>PROCESO VJ-VGC-CM-008-2013</v>
      </c>
      <c r="C3" s="298"/>
      <c r="D3" s="298"/>
      <c r="E3" s="298"/>
      <c r="F3" s="298"/>
      <c r="G3" s="298"/>
      <c r="H3" s="298"/>
      <c r="I3" s="298"/>
      <c r="J3" s="298"/>
      <c r="K3" s="298"/>
      <c r="L3" s="298"/>
      <c r="M3" s="298"/>
      <c r="N3" s="298"/>
      <c r="O3" s="298"/>
      <c r="P3" s="298"/>
      <c r="Q3" s="298"/>
      <c r="R3" s="298"/>
    </row>
    <row r="4" spans="2:19" ht="49.5" customHeight="1" x14ac:dyDescent="0.2">
      <c r="B4" s="298"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8"/>
      <c r="D4" s="298"/>
      <c r="E4" s="298"/>
      <c r="F4" s="298"/>
      <c r="G4" s="298"/>
      <c r="H4" s="298"/>
      <c r="I4" s="298"/>
      <c r="J4" s="298"/>
      <c r="K4" s="298"/>
      <c r="L4" s="298"/>
      <c r="M4" s="298"/>
      <c r="N4" s="298"/>
      <c r="O4" s="298"/>
      <c r="P4" s="298"/>
      <c r="Q4" s="298"/>
      <c r="R4" s="298"/>
    </row>
    <row r="5" spans="2:19" ht="18.75" x14ac:dyDescent="0.2">
      <c r="B5" s="336" t="s">
        <v>29</v>
      </c>
      <c r="C5" s="336"/>
      <c r="D5" s="336"/>
      <c r="E5" s="336"/>
      <c r="F5" s="336"/>
      <c r="G5" s="336"/>
      <c r="H5" s="336"/>
      <c r="I5" s="336"/>
      <c r="J5" s="336"/>
      <c r="K5" s="336"/>
      <c r="L5" s="336"/>
      <c r="M5" s="336"/>
      <c r="N5" s="336"/>
      <c r="O5" s="336"/>
      <c r="P5" s="336"/>
      <c r="Q5" s="336"/>
      <c r="R5" s="336"/>
    </row>
    <row r="6" spans="2:19" ht="18.75" x14ac:dyDescent="0.2">
      <c r="B6" s="336" t="s">
        <v>26</v>
      </c>
      <c r="C6" s="336"/>
      <c r="D6" s="336"/>
      <c r="E6" s="336"/>
      <c r="F6" s="336"/>
      <c r="G6" s="336"/>
      <c r="H6" s="336"/>
      <c r="I6" s="336"/>
      <c r="J6" s="336"/>
      <c r="K6" s="336"/>
      <c r="L6" s="336"/>
      <c r="M6" s="336"/>
      <c r="N6" s="336"/>
      <c r="O6" s="336"/>
      <c r="P6" s="336"/>
      <c r="Q6" s="336"/>
      <c r="R6" s="336"/>
    </row>
    <row r="7" spans="2:19" ht="18.75" x14ac:dyDescent="0.2">
      <c r="B7" s="9"/>
      <c r="C7" s="9"/>
      <c r="D7" s="9"/>
      <c r="E7" s="9"/>
      <c r="F7" s="9"/>
      <c r="G7" s="9"/>
      <c r="H7" s="9"/>
      <c r="I7" s="9"/>
      <c r="J7" s="16"/>
      <c r="K7" s="16"/>
      <c r="L7" s="16"/>
      <c r="M7" s="16"/>
      <c r="N7" s="16"/>
      <c r="O7" s="16"/>
      <c r="P7" s="16"/>
      <c r="Q7" s="16"/>
    </row>
    <row r="8" spans="2:19" ht="21.75" customHeight="1" x14ac:dyDescent="0.2">
      <c r="B8" s="16"/>
      <c r="C8" s="31" t="s">
        <v>34</v>
      </c>
      <c r="D8" s="59" t="str">
        <f>+'Exp. Gen (6)'!D6</f>
        <v>CONSORCIO PUENTES SOACHA</v>
      </c>
      <c r="E8" s="59"/>
      <c r="F8" s="59"/>
      <c r="G8" s="59"/>
      <c r="H8" s="59"/>
      <c r="I8" s="31"/>
      <c r="J8" s="31"/>
      <c r="K8" s="31"/>
      <c r="L8" s="31"/>
      <c r="M8" s="31"/>
      <c r="N8" s="31"/>
      <c r="O8" s="31"/>
      <c r="P8" s="31"/>
      <c r="Q8" s="31"/>
    </row>
    <row r="9" spans="2:19" ht="15.75" x14ac:dyDescent="0.2">
      <c r="B9" s="56"/>
      <c r="C9" s="56"/>
      <c r="D9" s="56"/>
      <c r="E9" s="56"/>
      <c r="F9" s="56"/>
      <c r="G9" s="56"/>
      <c r="H9" s="56"/>
      <c r="I9" s="56"/>
      <c r="J9" s="16"/>
      <c r="K9" s="16"/>
      <c r="L9" s="16"/>
      <c r="M9" s="16"/>
      <c r="N9" s="16"/>
      <c r="O9" s="16"/>
      <c r="P9" s="16"/>
      <c r="Q9" s="16"/>
    </row>
    <row r="10" spans="2:19" ht="16.5" thickBot="1" x14ac:dyDescent="0.25">
      <c r="B10" s="337"/>
      <c r="C10" s="337"/>
      <c r="D10" s="337"/>
      <c r="E10" s="337"/>
      <c r="F10" s="337"/>
      <c r="G10" s="337"/>
      <c r="H10" s="337"/>
      <c r="I10" s="337"/>
      <c r="J10" s="16"/>
      <c r="K10" s="16"/>
      <c r="L10" s="16"/>
      <c r="M10" s="16"/>
      <c r="N10" s="16"/>
      <c r="O10" s="16"/>
      <c r="P10" s="16"/>
      <c r="Q10" s="16"/>
    </row>
    <row r="11" spans="2:19" s="15" customFormat="1" ht="105.75" customHeight="1" thickBot="1" x14ac:dyDescent="0.25">
      <c r="B11" s="163"/>
      <c r="C11" s="161" t="s">
        <v>27</v>
      </c>
      <c r="D11" s="161" t="s">
        <v>1</v>
      </c>
      <c r="E11" s="161" t="s">
        <v>28</v>
      </c>
      <c r="F11" s="161" t="s">
        <v>44</v>
      </c>
      <c r="G11" s="161" t="s">
        <v>170</v>
      </c>
      <c r="H11" s="30" t="s">
        <v>7</v>
      </c>
      <c r="I11" s="161" t="s">
        <v>2</v>
      </c>
      <c r="J11" s="161" t="s">
        <v>3</v>
      </c>
      <c r="K11" s="161" t="s">
        <v>4</v>
      </c>
      <c r="L11" s="161" t="s">
        <v>5</v>
      </c>
      <c r="M11" s="161" t="s">
        <v>152</v>
      </c>
      <c r="N11" s="161" t="s">
        <v>20</v>
      </c>
      <c r="O11" s="161" t="s">
        <v>21</v>
      </c>
      <c r="P11" s="161" t="s">
        <v>149</v>
      </c>
      <c r="Q11" s="161" t="s">
        <v>176</v>
      </c>
      <c r="R11" s="161" t="s">
        <v>174</v>
      </c>
      <c r="S11" s="162" t="s">
        <v>38</v>
      </c>
    </row>
    <row r="12" spans="2:19" s="81" customFormat="1" ht="63.75" x14ac:dyDescent="0.2">
      <c r="B12" s="221">
        <v>1</v>
      </c>
      <c r="C12" s="233" t="s">
        <v>181</v>
      </c>
      <c r="D12" s="117" t="s">
        <v>99</v>
      </c>
      <c r="E12" s="216">
        <v>25002660</v>
      </c>
      <c r="F12" s="216">
        <f>+E12*G12</f>
        <v>25002660</v>
      </c>
      <c r="G12" s="158">
        <v>1</v>
      </c>
      <c r="H12" s="92">
        <f>F12/408000</f>
        <v>61.281029411764706</v>
      </c>
      <c r="I12" s="178">
        <v>38783</v>
      </c>
      <c r="J12" s="178">
        <v>38813</v>
      </c>
      <c r="K12" s="158" t="s">
        <v>10</v>
      </c>
      <c r="L12" s="234" t="s">
        <v>103</v>
      </c>
      <c r="M12" s="192" t="str">
        <f>IF((J12-I12)&gt;120,"CUMPLE","NO CUMPLE")</f>
        <v>NO CUMPLE</v>
      </c>
      <c r="N12" s="182"/>
      <c r="O12" s="159"/>
      <c r="P12" s="193"/>
      <c r="Q12" s="323">
        <v>0</v>
      </c>
      <c r="R12" s="323">
        <v>100</v>
      </c>
      <c r="S12" s="127" t="s">
        <v>212</v>
      </c>
    </row>
    <row r="13" spans="2:19" s="81" customFormat="1" ht="115.5" customHeight="1" x14ac:dyDescent="0.2">
      <c r="B13" s="222">
        <v>2</v>
      </c>
      <c r="C13" s="176" t="s">
        <v>181</v>
      </c>
      <c r="D13" s="77" t="s">
        <v>100</v>
      </c>
      <c r="E13" s="223">
        <v>202202616</v>
      </c>
      <c r="F13" s="223">
        <f t="shared" ref="F13:F15" si="0">+E13*G13</f>
        <v>202202616</v>
      </c>
      <c r="G13" s="235">
        <v>1</v>
      </c>
      <c r="H13" s="98">
        <f>F13/203826</f>
        <v>992.0354419946425</v>
      </c>
      <c r="I13" s="217">
        <v>36004</v>
      </c>
      <c r="J13" s="217">
        <v>36178</v>
      </c>
      <c r="K13" s="235" t="s">
        <v>10</v>
      </c>
      <c r="L13" s="177" t="s">
        <v>66</v>
      </c>
      <c r="M13" s="98" t="str">
        <f>IF((J13-I13)&gt;120,"CUMPLE")</f>
        <v>CUMPLE</v>
      </c>
      <c r="N13" s="328">
        <f>+H13+H14</f>
        <v>1156.7576001684954</v>
      </c>
      <c r="O13" s="224"/>
      <c r="P13" s="224"/>
      <c r="Q13" s="324"/>
      <c r="R13" s="324"/>
      <c r="S13" s="160"/>
    </row>
    <row r="14" spans="2:19" s="81" customFormat="1" ht="94.5" customHeight="1" x14ac:dyDescent="0.2">
      <c r="B14" s="222">
        <v>3</v>
      </c>
      <c r="C14" s="176" t="s">
        <v>98</v>
      </c>
      <c r="D14" s="77" t="s">
        <v>101</v>
      </c>
      <c r="E14" s="218">
        <v>71440000</v>
      </c>
      <c r="F14" s="223">
        <f t="shared" si="0"/>
        <v>71440000</v>
      </c>
      <c r="G14" s="235">
        <v>1</v>
      </c>
      <c r="H14" s="98">
        <f>F14/433700</f>
        <v>164.7221581738529</v>
      </c>
      <c r="I14" s="217">
        <v>39398</v>
      </c>
      <c r="J14" s="217">
        <v>39605</v>
      </c>
      <c r="K14" s="213" t="s">
        <v>10</v>
      </c>
      <c r="L14" s="177" t="s">
        <v>97</v>
      </c>
      <c r="M14" s="98" t="str">
        <f>IF((J14-I14)&gt;120,"CUMPLE")</f>
        <v>CUMPLE</v>
      </c>
      <c r="N14" s="328"/>
      <c r="O14" s="213" t="s">
        <v>177</v>
      </c>
      <c r="P14" s="224"/>
      <c r="Q14" s="324"/>
      <c r="R14" s="324"/>
      <c r="S14" s="156"/>
    </row>
    <row r="15" spans="2:19" s="81" customFormat="1" ht="95.25" customHeight="1" thickBot="1" x14ac:dyDescent="0.25">
      <c r="B15" s="225">
        <v>4</v>
      </c>
      <c r="C15" s="236" t="s">
        <v>98</v>
      </c>
      <c r="D15" s="130" t="s">
        <v>102</v>
      </c>
      <c r="E15" s="220">
        <v>101193814</v>
      </c>
      <c r="F15" s="226">
        <f t="shared" si="0"/>
        <v>50596907</v>
      </c>
      <c r="G15" s="237">
        <v>0.5</v>
      </c>
      <c r="H15" s="105">
        <f>+F15/515000</f>
        <v>98.246421359223305</v>
      </c>
      <c r="I15" s="219">
        <v>40539</v>
      </c>
      <c r="J15" s="219">
        <v>40900</v>
      </c>
      <c r="K15" s="214" t="s">
        <v>10</v>
      </c>
      <c r="L15" s="238" t="s">
        <v>96</v>
      </c>
      <c r="M15" s="265" t="s">
        <v>164</v>
      </c>
      <c r="N15" s="186"/>
      <c r="O15" s="227"/>
      <c r="P15" s="194"/>
      <c r="Q15" s="325"/>
      <c r="R15" s="325"/>
      <c r="S15" s="266" t="s">
        <v>213</v>
      </c>
    </row>
    <row r="16" spans="2:19" ht="15" x14ac:dyDescent="0.2">
      <c r="B16" s="12"/>
      <c r="C16" s="13"/>
      <c r="D16" s="13"/>
      <c r="E16" s="19"/>
      <c r="F16" s="19"/>
      <c r="G16" s="13"/>
      <c r="H16" s="13"/>
      <c r="I16" s="13"/>
      <c r="J16" s="14"/>
      <c r="K16" s="14"/>
      <c r="L16" s="14"/>
      <c r="M16" s="14"/>
      <c r="N16" s="14"/>
      <c r="O16" s="14"/>
      <c r="P16" s="14"/>
      <c r="Q16" s="14"/>
    </row>
    <row r="17" spans="2:18" ht="13.5" thickBot="1" x14ac:dyDescent="0.25">
      <c r="C17" s="5" t="s">
        <v>30</v>
      </c>
    </row>
    <row r="18" spans="2:18" ht="12.75" customHeight="1" x14ac:dyDescent="0.2">
      <c r="C18" s="5"/>
      <c r="L18" s="330" t="s">
        <v>214</v>
      </c>
      <c r="M18" s="331"/>
      <c r="N18" s="331"/>
      <c r="O18" s="331"/>
      <c r="P18" s="331"/>
      <c r="Q18" s="331"/>
      <c r="R18" s="332"/>
    </row>
    <row r="19" spans="2:18" ht="29.25" customHeight="1" thickBot="1" x14ac:dyDescent="0.25">
      <c r="C19" s="152" t="s">
        <v>57</v>
      </c>
      <c r="D19" s="151"/>
      <c r="E19" s="151"/>
      <c r="F19" s="151"/>
      <c r="G19" s="151"/>
      <c r="H19" s="151"/>
      <c r="I19" s="151"/>
      <c r="K19" s="165"/>
      <c r="L19" s="333"/>
      <c r="M19" s="334"/>
      <c r="N19" s="334"/>
      <c r="O19" s="334"/>
      <c r="P19" s="334"/>
      <c r="Q19" s="334"/>
      <c r="R19" s="335"/>
    </row>
    <row r="20" spans="2:18" s="151" customFormat="1" ht="24.95" customHeight="1" x14ac:dyDescent="0.2">
      <c r="C20" s="326" t="s">
        <v>175</v>
      </c>
      <c r="D20" s="326"/>
      <c r="E20" s="326"/>
      <c r="F20" s="326"/>
      <c r="G20" s="326"/>
      <c r="H20" s="326"/>
      <c r="K20" s="166"/>
      <c r="L20" s="231" t="s">
        <v>20</v>
      </c>
      <c r="M20" s="232"/>
      <c r="N20" s="342" t="s">
        <v>8</v>
      </c>
      <c r="O20" s="342"/>
      <c r="P20" s="342"/>
      <c r="Q20" s="342"/>
      <c r="R20" s="343"/>
    </row>
    <row r="21" spans="2:18" s="151" customFormat="1" ht="24.95" customHeight="1" x14ac:dyDescent="0.2">
      <c r="C21" s="152" t="s">
        <v>173</v>
      </c>
      <c r="I21"/>
      <c r="K21" s="166"/>
      <c r="L21" s="153" t="s">
        <v>21</v>
      </c>
      <c r="M21" s="229"/>
      <c r="N21" s="344" t="s">
        <v>8</v>
      </c>
      <c r="O21" s="344"/>
      <c r="P21" s="344"/>
      <c r="Q21" s="344"/>
      <c r="R21" s="345"/>
    </row>
    <row r="22" spans="2:18" s="151" customFormat="1" ht="24.95" customHeight="1" thickBot="1" x14ac:dyDescent="0.25">
      <c r="C22" s="152" t="s">
        <v>172</v>
      </c>
      <c r="K22" s="166"/>
      <c r="L22" s="154" t="s">
        <v>149</v>
      </c>
      <c r="M22" s="230"/>
      <c r="N22" s="346" t="s">
        <v>164</v>
      </c>
      <c r="O22" s="346"/>
      <c r="P22" s="346"/>
      <c r="Q22" s="346"/>
      <c r="R22" s="347"/>
    </row>
    <row r="23" spans="2:18" s="151" customFormat="1" ht="35.1" customHeight="1" x14ac:dyDescent="0.2">
      <c r="C23" s="326" t="s">
        <v>179</v>
      </c>
      <c r="D23" s="326"/>
      <c r="E23" s="326"/>
      <c r="F23" s="326"/>
      <c r="G23" s="326"/>
      <c r="H23" s="326"/>
      <c r="I23" s="326"/>
    </row>
    <row r="24" spans="2:18" s="151" customFormat="1" ht="35.1" customHeight="1" x14ac:dyDescent="0.2">
      <c r="C24" s="327" t="s">
        <v>178</v>
      </c>
      <c r="D24" s="327"/>
      <c r="E24" s="327"/>
      <c r="F24" s="327"/>
      <c r="G24" s="327"/>
      <c r="H24" s="327"/>
      <c r="I24" s="327"/>
    </row>
    <row r="25" spans="2:18" ht="18" customHeight="1" x14ac:dyDescent="0.2">
      <c r="C25" s="319" t="s">
        <v>180</v>
      </c>
      <c r="D25" s="319"/>
      <c r="E25" s="319"/>
      <c r="F25" s="319"/>
      <c r="G25" s="319"/>
      <c r="H25" s="319"/>
      <c r="I25" s="319"/>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197</v>
      </c>
    </row>
  </sheetData>
  <mergeCells count="16">
    <mergeCell ref="L18:R19"/>
    <mergeCell ref="Q12:Q15"/>
    <mergeCell ref="R12:R15"/>
    <mergeCell ref="N13:N14"/>
    <mergeCell ref="B3:R3"/>
    <mergeCell ref="B4:R4"/>
    <mergeCell ref="B5:R5"/>
    <mergeCell ref="B6:R6"/>
    <mergeCell ref="B10:I10"/>
    <mergeCell ref="C24:I24"/>
    <mergeCell ref="C25:I25"/>
    <mergeCell ref="C20:H20"/>
    <mergeCell ref="N20:R20"/>
    <mergeCell ref="N21:R21"/>
    <mergeCell ref="N22:R22"/>
    <mergeCell ref="C23:I23"/>
  </mergeCells>
  <pageMargins left="0.47" right="0.4" top="0.53" bottom="0.53" header="0.31496062992125984" footer="0.31496062992125984"/>
  <pageSetup scale="40"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13" zoomScale="75" zoomScaleNormal="70" zoomScaleSheetLayoutView="75" workbookViewId="0">
      <selection activeCell="S13" sqref="S13"/>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20" ht="18.75" customHeight="1" x14ac:dyDescent="0.2">
      <c r="B3" s="298" t="str">
        <f>+'Exp. Gen (1)'!B1:R1</f>
        <v>PROCESO VJ-VGC-CM-008-2013</v>
      </c>
      <c r="C3" s="298"/>
      <c r="D3" s="298"/>
      <c r="E3" s="298"/>
      <c r="F3" s="298"/>
      <c r="G3" s="298"/>
      <c r="H3" s="298"/>
      <c r="I3" s="298"/>
      <c r="J3" s="298"/>
      <c r="K3" s="298"/>
      <c r="L3" s="298"/>
      <c r="M3" s="298"/>
      <c r="N3" s="298"/>
      <c r="O3" s="298"/>
      <c r="P3" s="298"/>
      <c r="Q3" s="298"/>
      <c r="R3" s="298"/>
    </row>
    <row r="4" spans="2:20" ht="49.5" customHeight="1" x14ac:dyDescent="0.2">
      <c r="B4" s="298"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8"/>
      <c r="D4" s="298"/>
      <c r="E4" s="298"/>
      <c r="F4" s="298"/>
      <c r="G4" s="298"/>
      <c r="H4" s="298"/>
      <c r="I4" s="298"/>
      <c r="J4" s="298"/>
      <c r="K4" s="298"/>
      <c r="L4" s="298"/>
      <c r="M4" s="298"/>
      <c r="N4" s="298"/>
      <c r="O4" s="298"/>
      <c r="P4" s="298"/>
      <c r="Q4" s="298"/>
      <c r="R4" s="298"/>
    </row>
    <row r="5" spans="2:20" ht="18.75" x14ac:dyDescent="0.2">
      <c r="B5" s="336" t="s">
        <v>29</v>
      </c>
      <c r="C5" s="336"/>
      <c r="D5" s="336"/>
      <c r="E5" s="336"/>
      <c r="F5" s="336"/>
      <c r="G5" s="336"/>
      <c r="H5" s="336"/>
      <c r="I5" s="336"/>
      <c r="J5" s="336"/>
      <c r="K5" s="336"/>
      <c r="L5" s="336"/>
      <c r="M5" s="336"/>
      <c r="N5" s="336"/>
      <c r="O5" s="336"/>
      <c r="P5" s="336"/>
      <c r="Q5" s="336"/>
      <c r="R5" s="336"/>
    </row>
    <row r="6" spans="2:20" ht="18.75" x14ac:dyDescent="0.2">
      <c r="B6" s="336" t="s">
        <v>26</v>
      </c>
      <c r="C6" s="336"/>
      <c r="D6" s="336"/>
      <c r="E6" s="336"/>
      <c r="F6" s="336"/>
      <c r="G6" s="336"/>
      <c r="H6" s="336"/>
      <c r="I6" s="336"/>
      <c r="J6" s="336"/>
      <c r="K6" s="336"/>
      <c r="L6" s="336"/>
      <c r="M6" s="336"/>
      <c r="N6" s="336"/>
      <c r="O6" s="336"/>
      <c r="P6" s="336"/>
      <c r="Q6" s="336"/>
      <c r="R6" s="336"/>
    </row>
    <row r="7" spans="2:20" ht="18.75" x14ac:dyDescent="0.2">
      <c r="B7" s="9"/>
      <c r="C7" s="9"/>
      <c r="D7" s="9"/>
      <c r="E7" s="9"/>
      <c r="F7" s="9"/>
      <c r="G7" s="9"/>
      <c r="H7" s="9"/>
      <c r="I7" s="9"/>
      <c r="J7" s="16"/>
      <c r="K7" s="16"/>
      <c r="L7" s="16"/>
      <c r="M7" s="16"/>
      <c r="N7" s="16"/>
      <c r="O7" s="16"/>
      <c r="P7" s="16"/>
      <c r="Q7" s="16"/>
    </row>
    <row r="8" spans="2:20" ht="21.75" customHeight="1" x14ac:dyDescent="0.2">
      <c r="B8" s="16"/>
      <c r="C8" s="31" t="s">
        <v>34</v>
      </c>
      <c r="D8" s="59" t="str">
        <f>+'Exp. Gen (7)'!D6</f>
        <v>CONSORCIO PUENTES SOACHA (2)</v>
      </c>
      <c r="E8" s="59"/>
      <c r="F8" s="59"/>
      <c r="G8" s="59"/>
      <c r="H8" s="59"/>
      <c r="I8" s="31"/>
      <c r="J8" s="31"/>
      <c r="K8" s="31"/>
      <c r="L8" s="31"/>
      <c r="M8" s="31"/>
      <c r="N8" s="31"/>
      <c r="O8" s="31"/>
      <c r="P8" s="31"/>
      <c r="Q8" s="31"/>
    </row>
    <row r="9" spans="2:20" ht="15.75" x14ac:dyDescent="0.2">
      <c r="B9" s="56"/>
      <c r="C9" s="56"/>
      <c r="D9" s="56"/>
      <c r="E9" s="56"/>
      <c r="F9" s="56"/>
      <c r="G9" s="56"/>
      <c r="H9" s="56"/>
      <c r="I9" s="56"/>
      <c r="J9" s="16"/>
      <c r="K9" s="16"/>
      <c r="L9" s="16"/>
      <c r="M9" s="16"/>
      <c r="N9" s="16"/>
      <c r="O9" s="16"/>
      <c r="P9" s="16"/>
      <c r="Q9" s="16"/>
    </row>
    <row r="10" spans="2:20" ht="16.5" thickBot="1" x14ac:dyDescent="0.25">
      <c r="B10" s="337"/>
      <c r="C10" s="337"/>
      <c r="D10" s="337"/>
      <c r="E10" s="337"/>
      <c r="F10" s="337"/>
      <c r="G10" s="337"/>
      <c r="H10" s="337"/>
      <c r="I10" s="337"/>
      <c r="J10" s="16"/>
      <c r="K10" s="16"/>
      <c r="L10" s="16"/>
      <c r="M10" s="16"/>
      <c r="N10" s="16"/>
      <c r="O10" s="16"/>
      <c r="P10" s="16"/>
      <c r="Q10" s="16"/>
    </row>
    <row r="11" spans="2:20" s="15" customFormat="1" ht="105.75" customHeight="1" thickBot="1" x14ac:dyDescent="0.25">
      <c r="B11" s="163"/>
      <c r="C11" s="161" t="s">
        <v>27</v>
      </c>
      <c r="D11" s="161" t="s">
        <v>1</v>
      </c>
      <c r="E11" s="161" t="s">
        <v>28</v>
      </c>
      <c r="F11" s="161" t="s">
        <v>44</v>
      </c>
      <c r="G11" s="161" t="s">
        <v>170</v>
      </c>
      <c r="H11" s="30" t="s">
        <v>7</v>
      </c>
      <c r="I11" s="161" t="s">
        <v>2</v>
      </c>
      <c r="J11" s="161" t="s">
        <v>3</v>
      </c>
      <c r="K11" s="161" t="s">
        <v>4</v>
      </c>
      <c r="L11" s="161" t="s">
        <v>5</v>
      </c>
      <c r="M11" s="161" t="s">
        <v>152</v>
      </c>
      <c r="N11" s="161" t="s">
        <v>20</v>
      </c>
      <c r="O11" s="161" t="s">
        <v>21</v>
      </c>
      <c r="P11" s="161" t="s">
        <v>149</v>
      </c>
      <c r="Q11" s="161" t="s">
        <v>176</v>
      </c>
      <c r="R11" s="161" t="s">
        <v>174</v>
      </c>
      <c r="S11" s="162" t="s">
        <v>38</v>
      </c>
    </row>
    <row r="12" spans="2:20" s="81" customFormat="1" ht="72" x14ac:dyDescent="0.2">
      <c r="B12" s="221">
        <v>1</v>
      </c>
      <c r="C12" s="209" t="s">
        <v>143</v>
      </c>
      <c r="D12" s="195" t="s">
        <v>106</v>
      </c>
      <c r="E12" s="216">
        <v>850000000</v>
      </c>
      <c r="F12" s="216">
        <f>+E12*G12</f>
        <v>850000000</v>
      </c>
      <c r="G12" s="90">
        <v>1</v>
      </c>
      <c r="H12" s="92">
        <f>F12/381500</f>
        <v>2228.0471821756228</v>
      </c>
      <c r="I12" s="215">
        <v>39545</v>
      </c>
      <c r="J12" s="215">
        <v>39910</v>
      </c>
      <c r="K12" s="158" t="s">
        <v>10</v>
      </c>
      <c r="L12" s="143" t="s">
        <v>110</v>
      </c>
      <c r="M12" s="92" t="str">
        <f>IF((J12-I12)&gt;120,"CUMPLE","NO CUMPLE")</f>
        <v>CUMPLE</v>
      </c>
      <c r="N12" s="341">
        <f>+H12+H13+H14+H15</f>
        <v>2515.473622162408</v>
      </c>
      <c r="O12" s="269" t="s">
        <v>177</v>
      </c>
      <c r="P12" s="159"/>
      <c r="Q12" s="323">
        <v>0</v>
      </c>
      <c r="R12" s="323">
        <v>100</v>
      </c>
      <c r="S12" s="127" t="s">
        <v>227</v>
      </c>
    </row>
    <row r="13" spans="2:20" s="81" customFormat="1" ht="170.25" customHeight="1" x14ac:dyDescent="0.2">
      <c r="B13" s="222">
        <v>2</v>
      </c>
      <c r="C13" s="207" t="s">
        <v>105</v>
      </c>
      <c r="D13" s="196" t="s">
        <v>107</v>
      </c>
      <c r="E13" s="218">
        <v>69206686.640000001</v>
      </c>
      <c r="F13" s="223">
        <f t="shared" ref="F13:F15" si="0">+E13*G13</f>
        <v>24222340.323999997</v>
      </c>
      <c r="G13" s="95">
        <v>0.35</v>
      </c>
      <c r="H13" s="98">
        <f>F13/566700</f>
        <v>42.742792172225158</v>
      </c>
      <c r="I13" s="217">
        <v>38546</v>
      </c>
      <c r="J13" s="217">
        <v>38923</v>
      </c>
      <c r="K13" s="213" t="s">
        <v>10</v>
      </c>
      <c r="L13" s="213" t="s">
        <v>43</v>
      </c>
      <c r="M13" s="98" t="str">
        <f>IF((J13-I13)&gt;120,"CUMPLE")</f>
        <v>CUMPLE</v>
      </c>
      <c r="N13" s="328"/>
      <c r="O13" s="213"/>
      <c r="P13" s="224"/>
      <c r="Q13" s="324"/>
      <c r="R13" s="324"/>
      <c r="S13" s="160" t="s">
        <v>228</v>
      </c>
    </row>
    <row r="14" spans="2:20" s="81" customFormat="1" ht="60" x14ac:dyDescent="0.2">
      <c r="B14" s="222">
        <v>3</v>
      </c>
      <c r="C14" s="207" t="s">
        <v>143</v>
      </c>
      <c r="D14" s="196" t="s">
        <v>108</v>
      </c>
      <c r="E14" s="218">
        <v>131500418</v>
      </c>
      <c r="F14" s="223">
        <f t="shared" si="0"/>
        <v>92050292.599999994</v>
      </c>
      <c r="G14" s="95">
        <v>0.7</v>
      </c>
      <c r="H14" s="98">
        <f>F14/461500</f>
        <v>199.45892221018417</v>
      </c>
      <c r="I14" s="217">
        <v>40203</v>
      </c>
      <c r="J14" s="217">
        <v>40455</v>
      </c>
      <c r="K14" s="213" t="s">
        <v>10</v>
      </c>
      <c r="L14" s="213" t="s">
        <v>64</v>
      </c>
      <c r="M14" s="98" t="str">
        <f>IF((J14-I14)&gt;120,"CUMPLE")</f>
        <v>CUMPLE</v>
      </c>
      <c r="N14" s="328"/>
      <c r="O14" s="213"/>
      <c r="P14" s="224"/>
      <c r="Q14" s="324"/>
      <c r="R14" s="324"/>
      <c r="S14" s="156"/>
    </row>
    <row r="15" spans="2:20" s="81" customFormat="1" ht="95.25" customHeight="1" thickBot="1" x14ac:dyDescent="0.25">
      <c r="B15" s="225">
        <v>4</v>
      </c>
      <c r="C15" s="208" t="s">
        <v>143</v>
      </c>
      <c r="D15" s="197" t="s">
        <v>109</v>
      </c>
      <c r="E15" s="220">
        <v>51257704</v>
      </c>
      <c r="F15" s="226">
        <f t="shared" si="0"/>
        <v>25628852</v>
      </c>
      <c r="G15" s="102">
        <v>0.5</v>
      </c>
      <c r="H15" s="105">
        <f>+F15/566700</f>
        <v>45.224725604376211</v>
      </c>
      <c r="I15" s="219">
        <v>39532</v>
      </c>
      <c r="J15" s="219">
        <v>39987</v>
      </c>
      <c r="K15" s="214" t="s">
        <v>10</v>
      </c>
      <c r="L15" s="214" t="s">
        <v>64</v>
      </c>
      <c r="M15" s="105" t="str">
        <f>IF((J15-I15)&gt;120,"CUMPLE")</f>
        <v>CUMPLE</v>
      </c>
      <c r="N15" s="329"/>
      <c r="O15" s="227"/>
      <c r="P15" s="214" t="s">
        <v>177</v>
      </c>
      <c r="Q15" s="325"/>
      <c r="R15" s="325"/>
      <c r="S15" s="157"/>
      <c r="T15" s="81" t="s">
        <v>209</v>
      </c>
    </row>
    <row r="16" spans="2:20" ht="15" x14ac:dyDescent="0.2">
      <c r="B16" s="12"/>
      <c r="C16" s="13"/>
      <c r="D16" s="13"/>
      <c r="E16" s="19"/>
      <c r="F16" s="19"/>
      <c r="G16" s="13"/>
      <c r="H16" s="13"/>
      <c r="I16" s="13"/>
      <c r="J16" s="14"/>
      <c r="K16" s="14"/>
      <c r="L16" s="14"/>
      <c r="M16" s="14"/>
      <c r="N16" s="14"/>
      <c r="O16" s="14"/>
      <c r="P16" s="14"/>
      <c r="Q16" s="14"/>
    </row>
    <row r="17" spans="2:18" x14ac:dyDescent="0.2">
      <c r="C17" s="5" t="s">
        <v>30</v>
      </c>
    </row>
    <row r="18" spans="2:18" ht="13.5" thickBot="1" x14ac:dyDescent="0.25">
      <c r="C18" s="5"/>
    </row>
    <row r="19" spans="2:18" ht="29.25" customHeight="1" x14ac:dyDescent="0.2">
      <c r="C19" s="152" t="s">
        <v>57</v>
      </c>
      <c r="D19" s="151"/>
      <c r="E19" s="151"/>
      <c r="F19" s="151"/>
      <c r="G19" s="151"/>
      <c r="H19" s="151"/>
      <c r="I19" s="151"/>
      <c r="K19" s="165"/>
      <c r="L19" s="338" t="s">
        <v>171</v>
      </c>
      <c r="M19" s="339"/>
      <c r="N19" s="339"/>
      <c r="O19" s="339"/>
      <c r="P19" s="339"/>
      <c r="Q19" s="339"/>
      <c r="R19" s="340"/>
    </row>
    <row r="20" spans="2:18" s="151" customFormat="1" ht="24.95" customHeight="1" x14ac:dyDescent="0.2">
      <c r="C20" s="326" t="s">
        <v>175</v>
      </c>
      <c r="D20" s="326"/>
      <c r="E20" s="326"/>
      <c r="F20" s="326"/>
      <c r="G20" s="326"/>
      <c r="H20" s="326"/>
      <c r="K20" s="166"/>
      <c r="L20" s="153" t="s">
        <v>20</v>
      </c>
      <c r="M20" s="155"/>
      <c r="N20" s="281" t="s">
        <v>8</v>
      </c>
      <c r="O20" s="282"/>
      <c r="P20" s="282"/>
      <c r="Q20" s="282"/>
      <c r="R20" s="283"/>
    </row>
    <row r="21" spans="2:18" s="151" customFormat="1" ht="24.95" customHeight="1" x14ac:dyDescent="0.2">
      <c r="C21" s="152" t="s">
        <v>173</v>
      </c>
      <c r="I21"/>
      <c r="K21" s="166"/>
      <c r="L21" s="153" t="s">
        <v>21</v>
      </c>
      <c r="M21" s="155"/>
      <c r="N21" s="281" t="s">
        <v>8</v>
      </c>
      <c r="O21" s="282"/>
      <c r="P21" s="282"/>
      <c r="Q21" s="282"/>
      <c r="R21" s="283"/>
    </row>
    <row r="22" spans="2:18" s="151" customFormat="1" ht="24.95" customHeight="1" thickBot="1" x14ac:dyDescent="0.25">
      <c r="C22" s="152" t="s">
        <v>172</v>
      </c>
      <c r="K22" s="166"/>
      <c r="L22" s="154" t="s">
        <v>149</v>
      </c>
      <c r="M22" s="164"/>
      <c r="N22" s="284" t="s">
        <v>8</v>
      </c>
      <c r="O22" s="285"/>
      <c r="P22" s="285"/>
      <c r="Q22" s="285"/>
      <c r="R22" s="286"/>
    </row>
    <row r="23" spans="2:18" s="151" customFormat="1" ht="35.1" customHeight="1" x14ac:dyDescent="0.2">
      <c r="C23" s="326" t="s">
        <v>179</v>
      </c>
      <c r="D23" s="326"/>
      <c r="E23" s="326"/>
      <c r="F23" s="326"/>
      <c r="G23" s="326"/>
      <c r="H23" s="326"/>
      <c r="I23" s="326"/>
    </row>
    <row r="24" spans="2:18" s="151" customFormat="1" ht="35.1" customHeight="1" x14ac:dyDescent="0.2">
      <c r="C24" s="327" t="s">
        <v>178</v>
      </c>
      <c r="D24" s="327"/>
      <c r="E24" s="327"/>
      <c r="F24" s="327"/>
      <c r="G24" s="327"/>
      <c r="H24" s="327"/>
      <c r="I24" s="327"/>
    </row>
    <row r="25" spans="2:18" ht="18" customHeight="1" x14ac:dyDescent="0.2">
      <c r="C25" s="319" t="s">
        <v>180</v>
      </c>
      <c r="D25" s="319"/>
      <c r="E25" s="319"/>
      <c r="F25" s="319"/>
      <c r="G25" s="319"/>
      <c r="H25" s="319"/>
      <c r="I25" s="319"/>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197</v>
      </c>
    </row>
  </sheetData>
  <mergeCells count="16">
    <mergeCell ref="N12:N15"/>
    <mergeCell ref="Q12:Q15"/>
    <mergeCell ref="R12:R15"/>
    <mergeCell ref="B3:R3"/>
    <mergeCell ref="B4:R4"/>
    <mergeCell ref="B5:R5"/>
    <mergeCell ref="B6:R6"/>
    <mergeCell ref="B10:I10"/>
    <mergeCell ref="C24:I24"/>
    <mergeCell ref="C25:I25"/>
    <mergeCell ref="L19:R19"/>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T31"/>
  <sheetViews>
    <sheetView view="pageBreakPreview" topLeftCell="F9" zoomScale="75" zoomScaleNormal="70" zoomScaleSheetLayoutView="75" workbookViewId="0">
      <selection activeCell="C24" sqref="C24:I24"/>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20.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20" ht="18.75" customHeight="1" x14ac:dyDescent="0.2">
      <c r="B3" s="298" t="str">
        <f>+'Exp. Gen (1)'!B1:R1</f>
        <v>PROCESO VJ-VGC-CM-008-2013</v>
      </c>
      <c r="C3" s="298"/>
      <c r="D3" s="298"/>
      <c r="E3" s="298"/>
      <c r="F3" s="298"/>
      <c r="G3" s="298"/>
      <c r="H3" s="298"/>
      <c r="I3" s="298"/>
      <c r="J3" s="298"/>
      <c r="K3" s="298"/>
      <c r="L3" s="298"/>
      <c r="M3" s="298"/>
      <c r="N3" s="298"/>
      <c r="O3" s="298"/>
      <c r="P3" s="298"/>
      <c r="Q3" s="298"/>
      <c r="R3" s="298"/>
    </row>
    <row r="4" spans="2:20" ht="49.5" customHeight="1" x14ac:dyDescent="0.2">
      <c r="B4" s="298"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8"/>
      <c r="D4" s="298"/>
      <c r="E4" s="298"/>
      <c r="F4" s="298"/>
      <c r="G4" s="298"/>
      <c r="H4" s="298"/>
      <c r="I4" s="298"/>
      <c r="J4" s="298"/>
      <c r="K4" s="298"/>
      <c r="L4" s="298"/>
      <c r="M4" s="298"/>
      <c r="N4" s="298"/>
      <c r="O4" s="298"/>
      <c r="P4" s="298"/>
      <c r="Q4" s="298"/>
      <c r="R4" s="298"/>
    </row>
    <row r="5" spans="2:20" ht="18.75" x14ac:dyDescent="0.2">
      <c r="B5" s="336" t="s">
        <v>29</v>
      </c>
      <c r="C5" s="336"/>
      <c r="D5" s="336"/>
      <c r="E5" s="336"/>
      <c r="F5" s="336"/>
      <c r="G5" s="336"/>
      <c r="H5" s="336"/>
      <c r="I5" s="336"/>
      <c r="J5" s="336"/>
      <c r="K5" s="336"/>
      <c r="L5" s="336"/>
      <c r="M5" s="336"/>
      <c r="N5" s="336"/>
      <c r="O5" s="336"/>
      <c r="P5" s="336"/>
      <c r="Q5" s="336"/>
      <c r="R5" s="336"/>
    </row>
    <row r="6" spans="2:20" ht="18.75" x14ac:dyDescent="0.2">
      <c r="B6" s="336" t="s">
        <v>26</v>
      </c>
      <c r="C6" s="336"/>
      <c r="D6" s="336"/>
      <c r="E6" s="336"/>
      <c r="F6" s="336"/>
      <c r="G6" s="336"/>
      <c r="H6" s="336"/>
      <c r="I6" s="336"/>
      <c r="J6" s="336"/>
      <c r="K6" s="336"/>
      <c r="L6" s="336"/>
      <c r="M6" s="336"/>
      <c r="N6" s="336"/>
      <c r="O6" s="336"/>
      <c r="P6" s="336"/>
      <c r="Q6" s="336"/>
      <c r="R6" s="336"/>
    </row>
    <row r="7" spans="2:20" ht="18.75" x14ac:dyDescent="0.2">
      <c r="B7" s="9"/>
      <c r="C7" s="9"/>
      <c r="D7" s="9"/>
      <c r="E7" s="9"/>
      <c r="F7" s="9"/>
      <c r="G7" s="9"/>
      <c r="H7" s="9"/>
      <c r="I7" s="9"/>
      <c r="J7" s="16"/>
      <c r="K7" s="16"/>
      <c r="L7" s="16"/>
      <c r="M7" s="16"/>
      <c r="N7" s="16"/>
      <c r="O7" s="16"/>
      <c r="P7" s="16"/>
      <c r="Q7" s="16"/>
    </row>
    <row r="8" spans="2:20" ht="21.75" customHeight="1" x14ac:dyDescent="0.2">
      <c r="B8" s="16"/>
      <c r="C8" s="31" t="s">
        <v>34</v>
      </c>
      <c r="D8" s="59" t="str">
        <f>+'Exp. Gen (8)'!D6</f>
        <v>TECNOCONSULTA S.A.S</v>
      </c>
      <c r="E8" s="59"/>
      <c r="F8" s="59"/>
      <c r="G8" s="59"/>
      <c r="H8" s="59"/>
      <c r="I8" s="31"/>
      <c r="J8" s="31"/>
      <c r="K8" s="31"/>
      <c r="L8" s="31"/>
      <c r="M8" s="31"/>
      <c r="N8" s="31"/>
      <c r="O8" s="31"/>
      <c r="P8" s="31"/>
      <c r="Q8" s="31"/>
    </row>
    <row r="9" spans="2:20" ht="15.75" x14ac:dyDescent="0.2">
      <c r="B9" s="56"/>
      <c r="C9" s="56"/>
      <c r="D9" s="56"/>
      <c r="E9" s="56"/>
      <c r="F9" s="56"/>
      <c r="G9" s="56"/>
      <c r="H9" s="56"/>
      <c r="I9" s="56"/>
      <c r="J9" s="16"/>
      <c r="K9" s="16"/>
      <c r="L9" s="16"/>
      <c r="M9" s="16"/>
      <c r="N9" s="16"/>
      <c r="O9" s="16"/>
      <c r="P9" s="16"/>
      <c r="Q9" s="16"/>
    </row>
    <row r="10" spans="2:20" ht="16.5" thickBot="1" x14ac:dyDescent="0.25">
      <c r="B10" s="337"/>
      <c r="C10" s="337"/>
      <c r="D10" s="337"/>
      <c r="E10" s="337"/>
      <c r="F10" s="337"/>
      <c r="G10" s="337"/>
      <c r="H10" s="337"/>
      <c r="I10" s="337"/>
      <c r="J10" s="16"/>
      <c r="K10" s="16"/>
      <c r="L10" s="16"/>
      <c r="M10" s="16"/>
      <c r="N10" s="16"/>
      <c r="O10" s="16"/>
      <c r="P10" s="16"/>
      <c r="Q10" s="16"/>
    </row>
    <row r="11" spans="2:20" s="15" customFormat="1" ht="105.75" customHeight="1" thickBot="1" x14ac:dyDescent="0.25">
      <c r="B11" s="163"/>
      <c r="C11" s="161" t="s">
        <v>27</v>
      </c>
      <c r="D11" s="161" t="s">
        <v>1</v>
      </c>
      <c r="E11" s="161" t="s">
        <v>28</v>
      </c>
      <c r="F11" s="161" t="s">
        <v>44</v>
      </c>
      <c r="G11" s="161" t="s">
        <v>170</v>
      </c>
      <c r="H11" s="30" t="s">
        <v>7</v>
      </c>
      <c r="I11" s="161" t="s">
        <v>2</v>
      </c>
      <c r="J11" s="161" t="s">
        <v>3</v>
      </c>
      <c r="K11" s="161" t="s">
        <v>4</v>
      </c>
      <c r="L11" s="161" t="s">
        <v>5</v>
      </c>
      <c r="M11" s="161" t="s">
        <v>152</v>
      </c>
      <c r="N11" s="161" t="s">
        <v>20</v>
      </c>
      <c r="O11" s="161" t="s">
        <v>21</v>
      </c>
      <c r="P11" s="161" t="s">
        <v>149</v>
      </c>
      <c r="Q11" s="161" t="s">
        <v>176</v>
      </c>
      <c r="R11" s="161" t="s">
        <v>174</v>
      </c>
      <c r="S11" s="162" t="s">
        <v>38</v>
      </c>
    </row>
    <row r="12" spans="2:20" s="81" customFormat="1" ht="56.25" customHeight="1" x14ac:dyDescent="0.2">
      <c r="B12" s="221">
        <v>1</v>
      </c>
      <c r="C12" s="209" t="s">
        <v>120</v>
      </c>
      <c r="D12" s="117" t="s">
        <v>111</v>
      </c>
      <c r="E12" s="216">
        <v>1367715626</v>
      </c>
      <c r="F12" s="216">
        <f>+E12*G12</f>
        <v>1367715626</v>
      </c>
      <c r="G12" s="90">
        <v>1</v>
      </c>
      <c r="H12" s="92">
        <f>F12/515000</f>
        <v>2655.7584970873786</v>
      </c>
      <c r="I12" s="215">
        <v>40207</v>
      </c>
      <c r="J12" s="215">
        <v>40742</v>
      </c>
      <c r="K12" s="158" t="s">
        <v>10</v>
      </c>
      <c r="L12" s="167" t="s">
        <v>116</v>
      </c>
      <c r="M12" s="92" t="str">
        <f>IF((J12-I12)&gt;120,"CUMPLE","NO CUMPLE")</f>
        <v>CUMPLE</v>
      </c>
      <c r="N12" s="341">
        <f>+H12+H13+H14+H15</f>
        <v>16766.620975588208</v>
      </c>
      <c r="O12" s="228" t="s">
        <v>177</v>
      </c>
      <c r="P12" s="159"/>
      <c r="Q12" s="323">
        <v>900</v>
      </c>
      <c r="R12" s="323">
        <v>100</v>
      </c>
      <c r="S12" s="127"/>
      <c r="T12" s="81" t="s">
        <v>210</v>
      </c>
    </row>
    <row r="13" spans="2:20" s="81" customFormat="1" ht="60" customHeight="1" x14ac:dyDescent="0.2">
      <c r="B13" s="222">
        <v>2</v>
      </c>
      <c r="C13" s="207" t="s">
        <v>120</v>
      </c>
      <c r="D13" s="77" t="s">
        <v>112</v>
      </c>
      <c r="E13" s="218">
        <v>2985347000</v>
      </c>
      <c r="F13" s="223">
        <f t="shared" ref="F13:F17" si="0">+E13*G13</f>
        <v>1492673500</v>
      </c>
      <c r="G13" s="95">
        <v>0.5</v>
      </c>
      <c r="H13" s="98">
        <f>F13/461500</f>
        <v>3234.3954496208016</v>
      </c>
      <c r="I13" s="217">
        <v>39539</v>
      </c>
      <c r="J13" s="217">
        <v>39812</v>
      </c>
      <c r="K13" s="213" t="s">
        <v>10</v>
      </c>
      <c r="L13" s="211" t="s">
        <v>117</v>
      </c>
      <c r="M13" s="98" t="str">
        <f>IF((J13-I13)&gt;120,"CUMPLE")</f>
        <v>CUMPLE</v>
      </c>
      <c r="N13" s="328"/>
      <c r="O13" s="224"/>
      <c r="P13" s="213" t="s">
        <v>177</v>
      </c>
      <c r="Q13" s="324"/>
      <c r="R13" s="324"/>
      <c r="S13" s="160"/>
      <c r="T13" s="81" t="s">
        <v>211</v>
      </c>
    </row>
    <row r="14" spans="2:20" s="81" customFormat="1" ht="71.25" customHeight="1" x14ac:dyDescent="0.2">
      <c r="B14" s="222">
        <v>3</v>
      </c>
      <c r="C14" s="207" t="s">
        <v>120</v>
      </c>
      <c r="D14" s="132" t="s">
        <v>114</v>
      </c>
      <c r="E14" s="218">
        <v>2818000000</v>
      </c>
      <c r="F14" s="223">
        <f t="shared" si="0"/>
        <v>2818000000</v>
      </c>
      <c r="G14" s="95">
        <v>1</v>
      </c>
      <c r="H14" s="98">
        <f>F14/515000</f>
        <v>5471.844660194175</v>
      </c>
      <c r="I14" s="217">
        <v>40346</v>
      </c>
      <c r="J14" s="217">
        <v>40648</v>
      </c>
      <c r="K14" s="213" t="s">
        <v>10</v>
      </c>
      <c r="L14" s="211" t="s">
        <v>119</v>
      </c>
      <c r="M14" s="98" t="str">
        <f>IF((J14-I14)&gt;120,"CUMPLE")</f>
        <v>CUMPLE</v>
      </c>
      <c r="N14" s="328"/>
      <c r="O14" s="213"/>
      <c r="P14" s="224"/>
      <c r="Q14" s="324"/>
      <c r="R14" s="324"/>
      <c r="S14" s="156"/>
    </row>
    <row r="15" spans="2:20" s="81" customFormat="1" ht="42" customHeight="1" x14ac:dyDescent="0.2">
      <c r="B15" s="222">
        <v>4</v>
      </c>
      <c r="C15" s="207" t="s">
        <v>120</v>
      </c>
      <c r="D15" s="77" t="s">
        <v>113</v>
      </c>
      <c r="E15" s="218">
        <v>2685556855</v>
      </c>
      <c r="F15" s="223">
        <f t="shared" si="0"/>
        <v>2685556855</v>
      </c>
      <c r="G15" s="95">
        <v>1</v>
      </c>
      <c r="H15" s="98">
        <f>+F15/496900</f>
        <v>5404.6223686858521</v>
      </c>
      <c r="I15" s="217">
        <v>39873</v>
      </c>
      <c r="J15" s="217">
        <v>40152</v>
      </c>
      <c r="K15" s="213" t="s">
        <v>10</v>
      </c>
      <c r="L15" s="211" t="s">
        <v>118</v>
      </c>
      <c r="M15" s="98" t="str">
        <f>IF((J15-I15)&gt;120,"CUMPLE")</f>
        <v>CUMPLE</v>
      </c>
      <c r="N15" s="328"/>
      <c r="O15" s="224"/>
      <c r="P15" s="213"/>
      <c r="Q15" s="324"/>
      <c r="R15" s="324"/>
      <c r="S15" s="156"/>
    </row>
    <row r="16" spans="2:20" s="81" customFormat="1" ht="78.75" x14ac:dyDescent="0.2">
      <c r="B16" s="222">
        <v>5</v>
      </c>
      <c r="C16" s="207" t="s">
        <v>120</v>
      </c>
      <c r="D16" s="132" t="s">
        <v>115</v>
      </c>
      <c r="E16" s="218">
        <v>627549328</v>
      </c>
      <c r="F16" s="223">
        <f t="shared" si="0"/>
        <v>627549328</v>
      </c>
      <c r="G16" s="95">
        <v>1</v>
      </c>
      <c r="H16" s="98">
        <f>F16/496900</f>
        <v>1262.9288146508352</v>
      </c>
      <c r="I16" s="217">
        <v>40057</v>
      </c>
      <c r="J16" s="217">
        <v>40178</v>
      </c>
      <c r="K16" s="213" t="s">
        <v>10</v>
      </c>
      <c r="L16" s="211" t="s">
        <v>119</v>
      </c>
      <c r="M16" s="98" t="str">
        <f>IF((J16-I16)&gt;120,"CUMPLE")</f>
        <v>CUMPLE</v>
      </c>
      <c r="N16" s="189"/>
      <c r="O16" s="213"/>
      <c r="P16" s="224"/>
      <c r="Q16" s="224"/>
      <c r="R16" s="224"/>
      <c r="S16" s="156"/>
    </row>
    <row r="17" spans="2:19" s="81" customFormat="1" ht="39" thickBot="1" x14ac:dyDescent="0.25">
      <c r="B17" s="225">
        <v>6</v>
      </c>
      <c r="C17" s="208" t="s">
        <v>120</v>
      </c>
      <c r="D17" s="130" t="s">
        <v>121</v>
      </c>
      <c r="E17" s="220">
        <v>2982400000</v>
      </c>
      <c r="F17" s="226">
        <f t="shared" si="0"/>
        <v>1491200000</v>
      </c>
      <c r="G17" s="102">
        <v>0.5</v>
      </c>
      <c r="H17" s="105">
        <f>+F17/515000</f>
        <v>2895.5339805825242</v>
      </c>
      <c r="I17" s="219">
        <v>40211</v>
      </c>
      <c r="J17" s="219">
        <v>40574</v>
      </c>
      <c r="K17" s="214" t="s">
        <v>10</v>
      </c>
      <c r="L17" s="212" t="s">
        <v>122</v>
      </c>
      <c r="M17" s="105" t="str">
        <f>IF((J17-I17)&gt;120,"CUMPLE")</f>
        <v>CUMPLE</v>
      </c>
      <c r="N17" s="186"/>
      <c r="O17" s="227"/>
      <c r="P17" s="214"/>
      <c r="Q17" s="227"/>
      <c r="R17" s="227"/>
      <c r="S17" s="157"/>
    </row>
    <row r="18" spans="2:19" x14ac:dyDescent="0.2">
      <c r="C18" s="5"/>
    </row>
    <row r="19" spans="2:19" ht="13.5" thickBot="1" x14ac:dyDescent="0.25">
      <c r="C19" s="5" t="s">
        <v>30</v>
      </c>
    </row>
    <row r="20" spans="2:19" ht="29.25" customHeight="1" x14ac:dyDescent="0.2">
      <c r="C20" s="152" t="s">
        <v>57</v>
      </c>
      <c r="D20" s="151"/>
      <c r="E20" s="151"/>
      <c r="F20" s="151"/>
      <c r="G20" s="151"/>
      <c r="H20" s="151"/>
      <c r="I20" s="151"/>
      <c r="K20" s="165"/>
      <c r="L20" s="338" t="s">
        <v>171</v>
      </c>
      <c r="M20" s="339"/>
      <c r="N20" s="339"/>
      <c r="O20" s="339"/>
      <c r="P20" s="339"/>
      <c r="Q20" s="339"/>
      <c r="R20" s="340"/>
    </row>
    <row r="21" spans="2:19" s="151" customFormat="1" ht="24.95" customHeight="1" x14ac:dyDescent="0.2">
      <c r="C21" s="326" t="s">
        <v>175</v>
      </c>
      <c r="D21" s="326"/>
      <c r="E21" s="326"/>
      <c r="F21" s="326"/>
      <c r="G21" s="326"/>
      <c r="H21" s="326"/>
      <c r="K21" s="166"/>
      <c r="L21" s="153" t="s">
        <v>20</v>
      </c>
      <c r="M21" s="155"/>
      <c r="N21" s="281" t="s">
        <v>8</v>
      </c>
      <c r="O21" s="282"/>
      <c r="P21" s="282"/>
      <c r="Q21" s="282"/>
      <c r="R21" s="283"/>
    </row>
    <row r="22" spans="2:19" s="151" customFormat="1" ht="24.95" customHeight="1" x14ac:dyDescent="0.2">
      <c r="C22" s="152" t="s">
        <v>173</v>
      </c>
      <c r="I22"/>
      <c r="K22" s="166"/>
      <c r="L22" s="153" t="s">
        <v>21</v>
      </c>
      <c r="M22" s="155"/>
      <c r="N22" s="281" t="s">
        <v>8</v>
      </c>
      <c r="O22" s="282"/>
      <c r="P22" s="282"/>
      <c r="Q22" s="282"/>
      <c r="R22" s="283"/>
    </row>
    <row r="23" spans="2:19" s="151" customFormat="1" ht="24.95" customHeight="1" thickBot="1" x14ac:dyDescent="0.25">
      <c r="C23" s="152" t="s">
        <v>172</v>
      </c>
      <c r="K23" s="166"/>
      <c r="L23" s="154" t="s">
        <v>149</v>
      </c>
      <c r="M23" s="164"/>
      <c r="N23" s="284" t="s">
        <v>8</v>
      </c>
      <c r="O23" s="285"/>
      <c r="P23" s="285"/>
      <c r="Q23" s="285"/>
      <c r="R23" s="286"/>
    </row>
    <row r="24" spans="2:19" s="151" customFormat="1" ht="35.1" customHeight="1" x14ac:dyDescent="0.2">
      <c r="C24" s="326" t="s">
        <v>179</v>
      </c>
      <c r="D24" s="326"/>
      <c r="E24" s="326"/>
      <c r="F24" s="326"/>
      <c r="G24" s="326"/>
      <c r="H24" s="326"/>
      <c r="I24" s="326"/>
    </row>
    <row r="25" spans="2:19" s="151" customFormat="1" ht="35.1" customHeight="1" x14ac:dyDescent="0.2">
      <c r="C25" s="327" t="s">
        <v>178</v>
      </c>
      <c r="D25" s="327"/>
      <c r="E25" s="327"/>
      <c r="F25" s="327"/>
      <c r="G25" s="327"/>
      <c r="H25" s="327"/>
      <c r="I25" s="327"/>
    </row>
    <row r="26" spans="2:19" ht="18" customHeight="1" x14ac:dyDescent="0.2">
      <c r="C26" s="319" t="s">
        <v>180</v>
      </c>
      <c r="D26" s="319"/>
      <c r="E26" s="319"/>
      <c r="F26" s="319"/>
      <c r="G26" s="319"/>
      <c r="H26" s="319"/>
      <c r="I26" s="319"/>
    </row>
    <row r="27" spans="2:19" x14ac:dyDescent="0.2">
      <c r="C27" s="15"/>
    </row>
    <row r="28" spans="2:19" x14ac:dyDescent="0.2">
      <c r="B28" t="s">
        <v>42</v>
      </c>
      <c r="C28" s="15"/>
    </row>
    <row r="29" spans="2:19" x14ac:dyDescent="0.2">
      <c r="C29" s="15" t="s">
        <v>45</v>
      </c>
    </row>
    <row r="30" spans="2:19" x14ac:dyDescent="0.2">
      <c r="C30" t="s">
        <v>41</v>
      </c>
    </row>
    <row r="31" spans="2:19" x14ac:dyDescent="0.2">
      <c r="C31" s="15" t="s">
        <v>197</v>
      </c>
    </row>
  </sheetData>
  <mergeCells count="16">
    <mergeCell ref="N12:N15"/>
    <mergeCell ref="Q12:Q15"/>
    <mergeCell ref="R12:R15"/>
    <mergeCell ref="B3:R3"/>
    <mergeCell ref="B4:R4"/>
    <mergeCell ref="B5:R5"/>
    <mergeCell ref="B6:R6"/>
    <mergeCell ref="B10:I10"/>
    <mergeCell ref="C25:I25"/>
    <mergeCell ref="C26:I26"/>
    <mergeCell ref="L20:R20"/>
    <mergeCell ref="C21:H21"/>
    <mergeCell ref="N21:R21"/>
    <mergeCell ref="N22:R22"/>
    <mergeCell ref="N23:R23"/>
    <mergeCell ref="C24:I24"/>
  </mergeCells>
  <pageMargins left="0.47" right="0.4" top="0.53" bottom="0.53" header="0.31496062992125984" footer="0.31496062992125984"/>
  <pageSetup scale="4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1"/>
  <sheetViews>
    <sheetView view="pageBreakPreview" topLeftCell="F11" zoomScale="75" zoomScaleNormal="70" zoomScaleSheetLayoutView="75" workbookViewId="0">
      <selection activeCell="C24" sqref="C24:I24"/>
    </sheetView>
  </sheetViews>
  <sheetFormatPr baseColWidth="10" defaultRowHeight="12.75" x14ac:dyDescent="0.2"/>
  <cols>
    <col min="1" max="1" width="1.5703125" hidden="1" customWidth="1"/>
    <col min="2" max="2" width="4" customWidth="1"/>
    <col min="3" max="3" width="28.5703125" customWidth="1"/>
    <col min="4" max="4" width="40.7109375" customWidth="1"/>
    <col min="5" max="5" width="19.5703125" customWidth="1"/>
    <col min="6" max="6" width="20.7109375" customWidth="1"/>
    <col min="7" max="10" width="15.7109375" customWidth="1"/>
    <col min="11" max="11" width="16.7109375" customWidth="1"/>
    <col min="12" max="13" width="14.7109375" customWidth="1"/>
    <col min="14" max="14" width="13.7109375" customWidth="1"/>
    <col min="15" max="16" width="14" customWidth="1"/>
    <col min="17" max="17" width="15.42578125" customWidth="1"/>
    <col min="18" max="18" width="17" customWidth="1"/>
    <col min="19" max="19" width="30" customWidth="1"/>
  </cols>
  <sheetData>
    <row r="3" spans="2:19" ht="18.75" customHeight="1" x14ac:dyDescent="0.2">
      <c r="B3" s="298" t="str">
        <f>+'Exp. Gen (1)'!B1:R1</f>
        <v>PROCESO VJ-VGC-CM-008-2013</v>
      </c>
      <c r="C3" s="298"/>
      <c r="D3" s="298"/>
      <c r="E3" s="298"/>
      <c r="F3" s="298"/>
      <c r="G3" s="298"/>
      <c r="H3" s="298"/>
      <c r="I3" s="298"/>
      <c r="J3" s="298"/>
      <c r="K3" s="298"/>
      <c r="L3" s="298"/>
      <c r="M3" s="298"/>
      <c r="N3" s="298"/>
      <c r="O3" s="298"/>
      <c r="P3" s="298"/>
      <c r="Q3" s="298"/>
      <c r="R3" s="298"/>
    </row>
    <row r="4" spans="2:19" ht="49.5" customHeight="1" x14ac:dyDescent="0.2">
      <c r="B4" s="298" t="str">
        <f>+'Exp. Gen (1)'!B2:R2</f>
        <v>"CONTRATAR LA CONSULTORIA ESPECIALIZADA PARA LA ELABORACIÓN DE LOS ESTUDIOS, DISEÑOS Y LA GESTIÓN PREDIAL PARA LA CONSTRUCCIÓN DE LOS PUENTES PEATONALES “CAMILO TORRES”, “DORADO” y “DUCALES”, EN EL SECTOR DE SOACHA DEL PROYECTO VIAL BOSA-GRANADA-GIRARDOT"</v>
      </c>
      <c r="C4" s="298"/>
      <c r="D4" s="298"/>
      <c r="E4" s="298"/>
      <c r="F4" s="298"/>
      <c r="G4" s="298"/>
      <c r="H4" s="298"/>
      <c r="I4" s="298"/>
      <c r="J4" s="298"/>
      <c r="K4" s="298"/>
      <c r="L4" s="298"/>
      <c r="M4" s="298"/>
      <c r="N4" s="298"/>
      <c r="O4" s="298"/>
      <c r="P4" s="298"/>
      <c r="Q4" s="298"/>
      <c r="R4" s="298"/>
    </row>
    <row r="5" spans="2:19" ht="18.75" x14ac:dyDescent="0.2">
      <c r="B5" s="336" t="s">
        <v>29</v>
      </c>
      <c r="C5" s="336"/>
      <c r="D5" s="336"/>
      <c r="E5" s="336"/>
      <c r="F5" s="336"/>
      <c r="G5" s="336"/>
      <c r="H5" s="336"/>
      <c r="I5" s="336"/>
      <c r="J5" s="336"/>
      <c r="K5" s="336"/>
      <c r="L5" s="336"/>
      <c r="M5" s="336"/>
      <c r="N5" s="336"/>
      <c r="O5" s="336"/>
      <c r="P5" s="336"/>
      <c r="Q5" s="336"/>
      <c r="R5" s="336"/>
    </row>
    <row r="6" spans="2:19" ht="18.75" x14ac:dyDescent="0.2">
      <c r="B6" s="336" t="s">
        <v>26</v>
      </c>
      <c r="C6" s="336"/>
      <c r="D6" s="336"/>
      <c r="E6" s="336"/>
      <c r="F6" s="336"/>
      <c r="G6" s="336"/>
      <c r="H6" s="336"/>
      <c r="I6" s="336"/>
      <c r="J6" s="336"/>
      <c r="K6" s="336"/>
      <c r="L6" s="336"/>
      <c r="M6" s="336"/>
      <c r="N6" s="336"/>
      <c r="O6" s="336"/>
      <c r="P6" s="336"/>
      <c r="Q6" s="336"/>
      <c r="R6" s="336"/>
    </row>
    <row r="7" spans="2:19" ht="18.75" x14ac:dyDescent="0.2">
      <c r="B7" s="9"/>
      <c r="C7" s="9"/>
      <c r="D7" s="9"/>
      <c r="E7" s="9"/>
      <c r="F7" s="9"/>
      <c r="G7" s="9"/>
      <c r="H7" s="9"/>
      <c r="I7" s="9"/>
      <c r="J7" s="16"/>
      <c r="K7" s="16"/>
      <c r="L7" s="16"/>
      <c r="M7" s="16"/>
      <c r="N7" s="16"/>
      <c r="O7" s="16"/>
      <c r="P7" s="16"/>
      <c r="Q7" s="16"/>
    </row>
    <row r="8" spans="2:19" ht="21.75" customHeight="1" x14ac:dyDescent="0.2">
      <c r="B8" s="16"/>
      <c r="C8" s="31" t="s">
        <v>34</v>
      </c>
      <c r="D8" s="59" t="str">
        <f>+'Exp. Gen (9)'!D6</f>
        <v>CONSORCIO PROES - CPT</v>
      </c>
      <c r="E8" s="59"/>
      <c r="F8" s="59"/>
      <c r="G8" s="59"/>
      <c r="H8" s="59"/>
      <c r="I8" s="31"/>
      <c r="J8" s="31"/>
      <c r="K8" s="31"/>
      <c r="L8" s="31"/>
      <c r="M8" s="31"/>
      <c r="N8" s="31"/>
      <c r="O8" s="31"/>
      <c r="P8" s="31"/>
      <c r="Q8" s="31"/>
    </row>
    <row r="9" spans="2:19" ht="15.75" x14ac:dyDescent="0.2">
      <c r="B9" s="56"/>
      <c r="C9" s="56"/>
      <c r="D9" s="56"/>
      <c r="E9" s="56"/>
      <c r="F9" s="56"/>
      <c r="G9" s="56"/>
      <c r="H9" s="56"/>
      <c r="I9" s="56"/>
      <c r="J9" s="16"/>
      <c r="K9" s="16"/>
      <c r="L9" s="16"/>
      <c r="M9" s="16"/>
      <c r="N9" s="16"/>
      <c r="O9" s="16"/>
      <c r="P9" s="16"/>
      <c r="Q9" s="16"/>
    </row>
    <row r="10" spans="2:19" ht="16.5" thickBot="1" x14ac:dyDescent="0.25">
      <c r="B10" s="337"/>
      <c r="C10" s="337"/>
      <c r="D10" s="337"/>
      <c r="E10" s="337"/>
      <c r="F10" s="337"/>
      <c r="G10" s="337"/>
      <c r="H10" s="337"/>
      <c r="I10" s="337"/>
      <c r="J10" s="16"/>
      <c r="K10" s="16"/>
      <c r="L10" s="16"/>
      <c r="M10" s="16"/>
      <c r="N10" s="16"/>
      <c r="O10" s="16"/>
      <c r="P10" s="16"/>
      <c r="Q10" s="16"/>
    </row>
    <row r="11" spans="2:19" s="15" customFormat="1" ht="105.75" customHeight="1" thickBot="1" x14ac:dyDescent="0.25">
      <c r="B11" s="163"/>
      <c r="C11" s="161" t="s">
        <v>27</v>
      </c>
      <c r="D11" s="161" t="s">
        <v>1</v>
      </c>
      <c r="E11" s="161" t="s">
        <v>28</v>
      </c>
      <c r="F11" s="161" t="s">
        <v>44</v>
      </c>
      <c r="G11" s="161" t="s">
        <v>170</v>
      </c>
      <c r="H11" s="30" t="s">
        <v>7</v>
      </c>
      <c r="I11" s="161" t="s">
        <v>2</v>
      </c>
      <c r="J11" s="161" t="s">
        <v>3</v>
      </c>
      <c r="K11" s="161" t="s">
        <v>4</v>
      </c>
      <c r="L11" s="161" t="s">
        <v>5</v>
      </c>
      <c r="M11" s="161" t="s">
        <v>152</v>
      </c>
      <c r="N11" s="161" t="s">
        <v>20</v>
      </c>
      <c r="O11" s="161" t="s">
        <v>21</v>
      </c>
      <c r="P11" s="161" t="s">
        <v>149</v>
      </c>
      <c r="Q11" s="161" t="s">
        <v>176</v>
      </c>
      <c r="R11" s="161" t="s">
        <v>174</v>
      </c>
      <c r="S11" s="162" t="s">
        <v>38</v>
      </c>
    </row>
    <row r="12" spans="2:19" s="81" customFormat="1" ht="40.5" customHeight="1" x14ac:dyDescent="0.2">
      <c r="B12" s="221">
        <v>1</v>
      </c>
      <c r="C12" s="209" t="s">
        <v>182</v>
      </c>
      <c r="D12" s="117" t="s">
        <v>133</v>
      </c>
      <c r="E12" s="216">
        <f>+(397750.35*1.4654)*2012.89</f>
        <v>1173239834.527652</v>
      </c>
      <c r="F12" s="216">
        <f>+E12*G12</f>
        <v>1173239834.527652</v>
      </c>
      <c r="G12" s="90">
        <v>1</v>
      </c>
      <c r="H12" s="92">
        <f>F12/381500</f>
        <v>3075.3337733359162</v>
      </c>
      <c r="I12" s="215">
        <v>39393</v>
      </c>
      <c r="J12" s="215">
        <v>39517</v>
      </c>
      <c r="K12" s="158" t="s">
        <v>129</v>
      </c>
      <c r="L12" s="167" t="s">
        <v>137</v>
      </c>
      <c r="M12" s="92" t="str">
        <f>IF((J12-I12)&gt;120,"CUMPLE","NO CUMPLE")</f>
        <v>CUMPLE</v>
      </c>
      <c r="N12" s="341">
        <f>+H12+H13+H14+H15</f>
        <v>7011.2696154092937</v>
      </c>
      <c r="O12" s="159"/>
      <c r="P12" s="159"/>
      <c r="Q12" s="323">
        <v>900</v>
      </c>
      <c r="R12" s="323">
        <v>100</v>
      </c>
      <c r="S12" s="149" t="s">
        <v>168</v>
      </c>
    </row>
    <row r="13" spans="2:19" s="81" customFormat="1" ht="40.5" customHeight="1" x14ac:dyDescent="0.2">
      <c r="B13" s="222">
        <v>2</v>
      </c>
      <c r="C13" s="207" t="s">
        <v>182</v>
      </c>
      <c r="D13" s="77" t="s">
        <v>134</v>
      </c>
      <c r="E13" s="223">
        <f>(113289*1.2728)*2579.08</f>
        <v>371888478.43593591</v>
      </c>
      <c r="F13" s="223">
        <f t="shared" ref="F13:F15" si="0">+E13*G13</f>
        <v>185944239.21796796</v>
      </c>
      <c r="G13" s="95">
        <v>0.5</v>
      </c>
      <c r="H13" s="98">
        <f>F13/566700</f>
        <v>328.11759170278447</v>
      </c>
      <c r="I13" s="217">
        <v>37978</v>
      </c>
      <c r="J13" s="217">
        <v>38338</v>
      </c>
      <c r="K13" s="213" t="s">
        <v>129</v>
      </c>
      <c r="L13" s="211" t="s">
        <v>138</v>
      </c>
      <c r="M13" s="98" t="str">
        <f>IF((J13-I13)&gt;120,"CUMPLE")</f>
        <v>CUMPLE</v>
      </c>
      <c r="N13" s="328"/>
      <c r="O13" s="213" t="s">
        <v>177</v>
      </c>
      <c r="P13" s="213" t="s">
        <v>177</v>
      </c>
      <c r="Q13" s="324"/>
      <c r="R13" s="324"/>
      <c r="S13" s="150" t="s">
        <v>168</v>
      </c>
    </row>
    <row r="14" spans="2:19" s="81" customFormat="1" ht="41.25" customHeight="1" x14ac:dyDescent="0.2">
      <c r="B14" s="222">
        <v>3</v>
      </c>
      <c r="C14" s="207" t="s">
        <v>182</v>
      </c>
      <c r="D14" s="77" t="s">
        <v>135</v>
      </c>
      <c r="E14" s="218">
        <f>+(422843.87*1.2405)*2809.09</f>
        <v>1473473946.8484812</v>
      </c>
      <c r="F14" s="223">
        <f t="shared" si="0"/>
        <v>1473473946.8484812</v>
      </c>
      <c r="G14" s="95">
        <v>1</v>
      </c>
      <c r="H14" s="98">
        <f>F14/461500</f>
        <v>3192.7929509176192</v>
      </c>
      <c r="I14" s="217">
        <v>38903</v>
      </c>
      <c r="J14" s="217">
        <v>39083</v>
      </c>
      <c r="K14" s="213" t="s">
        <v>129</v>
      </c>
      <c r="L14" s="211" t="s">
        <v>138</v>
      </c>
      <c r="M14" s="98" t="str">
        <f>IF((J14-I14)&gt;120,"CUMPLE")</f>
        <v>CUMPLE</v>
      </c>
      <c r="N14" s="328"/>
      <c r="O14" s="213"/>
      <c r="P14" s="224"/>
      <c r="Q14" s="324"/>
      <c r="R14" s="324"/>
      <c r="S14" s="150" t="s">
        <v>168</v>
      </c>
    </row>
    <row r="15" spans="2:19" s="81" customFormat="1" ht="39" thickBot="1" x14ac:dyDescent="0.25">
      <c r="B15" s="225">
        <v>4</v>
      </c>
      <c r="C15" s="208" t="s">
        <v>132</v>
      </c>
      <c r="D15" s="130" t="s">
        <v>136</v>
      </c>
      <c r="E15" s="220">
        <v>587987093</v>
      </c>
      <c r="F15" s="226">
        <f t="shared" si="0"/>
        <v>235194837.20000002</v>
      </c>
      <c r="G15" s="102">
        <v>0.4</v>
      </c>
      <c r="H15" s="105">
        <f>+F15/566700</f>
        <v>415.0252994529734</v>
      </c>
      <c r="I15" s="219">
        <v>36146</v>
      </c>
      <c r="J15" s="219">
        <v>36328</v>
      </c>
      <c r="K15" s="214" t="s">
        <v>10</v>
      </c>
      <c r="L15" s="212" t="s">
        <v>139</v>
      </c>
      <c r="M15" s="105" t="str">
        <f>IF((J15-I15)&gt;120,"CUMPLE")</f>
        <v>CUMPLE</v>
      </c>
      <c r="N15" s="329"/>
      <c r="O15" s="227"/>
      <c r="P15" s="214"/>
      <c r="Q15" s="325"/>
      <c r="R15" s="325"/>
      <c r="S15" s="157"/>
    </row>
    <row r="16" spans="2:19" ht="15" x14ac:dyDescent="0.2">
      <c r="B16" s="12"/>
      <c r="C16" s="13"/>
      <c r="D16" s="13"/>
      <c r="E16" s="19"/>
      <c r="F16" s="19"/>
      <c r="G16" s="13"/>
      <c r="H16" s="13"/>
      <c r="I16" s="13"/>
      <c r="J16" s="14"/>
      <c r="K16" s="14"/>
      <c r="L16" s="14"/>
      <c r="M16" s="14"/>
      <c r="N16" s="14"/>
      <c r="O16" s="14"/>
      <c r="P16" s="14"/>
      <c r="Q16" s="14"/>
    </row>
    <row r="17" spans="2:18" x14ac:dyDescent="0.2">
      <c r="C17" s="5" t="s">
        <v>30</v>
      </c>
    </row>
    <row r="18" spans="2:18" ht="13.5" thickBot="1" x14ac:dyDescent="0.25">
      <c r="C18" s="5"/>
    </row>
    <row r="19" spans="2:18" ht="29.25" customHeight="1" x14ac:dyDescent="0.2">
      <c r="C19" s="152" t="s">
        <v>57</v>
      </c>
      <c r="D19" s="151"/>
      <c r="E19" s="151"/>
      <c r="F19" s="151"/>
      <c r="G19" s="151"/>
      <c r="H19" s="151"/>
      <c r="I19" s="151"/>
      <c r="K19" s="165"/>
      <c r="L19" s="338" t="s">
        <v>171</v>
      </c>
      <c r="M19" s="339"/>
      <c r="N19" s="339"/>
      <c r="O19" s="339"/>
      <c r="P19" s="339"/>
      <c r="Q19" s="339"/>
      <c r="R19" s="340"/>
    </row>
    <row r="20" spans="2:18" s="151" customFormat="1" ht="24.95" customHeight="1" x14ac:dyDescent="0.2">
      <c r="C20" s="326" t="s">
        <v>175</v>
      </c>
      <c r="D20" s="326"/>
      <c r="E20" s="326"/>
      <c r="F20" s="326"/>
      <c r="G20" s="326"/>
      <c r="H20" s="326"/>
      <c r="K20" s="166"/>
      <c r="L20" s="153" t="s">
        <v>20</v>
      </c>
      <c r="M20" s="155"/>
      <c r="N20" s="281" t="s">
        <v>8</v>
      </c>
      <c r="O20" s="282"/>
      <c r="P20" s="282"/>
      <c r="Q20" s="282"/>
      <c r="R20" s="283"/>
    </row>
    <row r="21" spans="2:18" s="151" customFormat="1" ht="24.95" customHeight="1" x14ac:dyDescent="0.2">
      <c r="C21" s="152" t="s">
        <v>173</v>
      </c>
      <c r="I21"/>
      <c r="K21" s="166"/>
      <c r="L21" s="153" t="s">
        <v>21</v>
      </c>
      <c r="M21" s="155"/>
      <c r="N21" s="281" t="s">
        <v>8</v>
      </c>
      <c r="O21" s="282"/>
      <c r="P21" s="282"/>
      <c r="Q21" s="282"/>
      <c r="R21" s="283"/>
    </row>
    <row r="22" spans="2:18" s="151" customFormat="1" ht="24.95" customHeight="1" thickBot="1" x14ac:dyDescent="0.25">
      <c r="C22" s="152" t="s">
        <v>172</v>
      </c>
      <c r="K22" s="166"/>
      <c r="L22" s="154" t="s">
        <v>149</v>
      </c>
      <c r="M22" s="164"/>
      <c r="N22" s="284" t="s">
        <v>8</v>
      </c>
      <c r="O22" s="285"/>
      <c r="P22" s="285"/>
      <c r="Q22" s="285"/>
      <c r="R22" s="286"/>
    </row>
    <row r="23" spans="2:18" s="151" customFormat="1" ht="35.1" customHeight="1" x14ac:dyDescent="0.2">
      <c r="C23" s="326" t="s">
        <v>179</v>
      </c>
      <c r="D23" s="326"/>
      <c r="E23" s="326"/>
      <c r="F23" s="326"/>
      <c r="G23" s="326"/>
      <c r="H23" s="326"/>
      <c r="I23" s="326"/>
    </row>
    <row r="24" spans="2:18" s="151" customFormat="1" ht="35.1" customHeight="1" x14ac:dyDescent="0.2">
      <c r="C24" s="327" t="s">
        <v>178</v>
      </c>
      <c r="D24" s="327"/>
      <c r="E24" s="327"/>
      <c r="F24" s="327"/>
      <c r="G24" s="327"/>
      <c r="H24" s="327"/>
      <c r="I24" s="327"/>
    </row>
    <row r="25" spans="2:18" ht="18" customHeight="1" x14ac:dyDescent="0.2">
      <c r="C25" s="319" t="s">
        <v>180</v>
      </c>
      <c r="D25" s="319"/>
      <c r="E25" s="319"/>
      <c r="F25" s="319"/>
      <c r="G25" s="319"/>
      <c r="H25" s="319"/>
      <c r="I25" s="319"/>
    </row>
    <row r="26" spans="2:18" x14ac:dyDescent="0.2">
      <c r="C26" s="15"/>
    </row>
    <row r="27" spans="2:18" x14ac:dyDescent="0.2">
      <c r="B27" t="s">
        <v>42</v>
      </c>
      <c r="C27" s="15"/>
    </row>
    <row r="29" spans="2:18" x14ac:dyDescent="0.2">
      <c r="C29" s="15" t="s">
        <v>45</v>
      </c>
    </row>
    <row r="30" spans="2:18" x14ac:dyDescent="0.2">
      <c r="C30" t="s">
        <v>41</v>
      </c>
    </row>
    <row r="31" spans="2:18" x14ac:dyDescent="0.2">
      <c r="C31" s="15" t="s">
        <v>197</v>
      </c>
    </row>
  </sheetData>
  <mergeCells count="16">
    <mergeCell ref="N12:N15"/>
    <mergeCell ref="Q12:Q15"/>
    <mergeCell ref="R12:R15"/>
    <mergeCell ref="B3:R3"/>
    <mergeCell ref="B4:R4"/>
    <mergeCell ref="B5:R5"/>
    <mergeCell ref="B6:R6"/>
    <mergeCell ref="B10:I10"/>
    <mergeCell ref="C24:I24"/>
    <mergeCell ref="C25:I25"/>
    <mergeCell ref="L19:R19"/>
    <mergeCell ref="C20:H20"/>
    <mergeCell ref="N20:R20"/>
    <mergeCell ref="N21:R21"/>
    <mergeCell ref="N22:R22"/>
    <mergeCell ref="C23:I23"/>
  </mergeCells>
  <pageMargins left="0.47" right="0.4" top="0.53" bottom="0.53" header="0.31496062992125984" footer="0.31496062992125984"/>
  <pageSetup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A9" zoomScale="75" zoomScaleNormal="55" zoomScaleSheetLayoutView="75" zoomScalePageLayoutView="40" workbookViewId="0">
      <selection activeCell="D13" sqref="D13"/>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8" t="s">
        <v>52</v>
      </c>
      <c r="C1" s="298"/>
      <c r="D1" s="298"/>
      <c r="E1" s="298"/>
      <c r="F1" s="298"/>
      <c r="G1" s="298"/>
      <c r="H1" s="298"/>
      <c r="I1" s="298"/>
      <c r="J1" s="298"/>
      <c r="K1" s="298"/>
      <c r="L1" s="298"/>
      <c r="M1" s="298"/>
      <c r="N1" s="298"/>
      <c r="O1" s="298"/>
      <c r="P1" s="298"/>
      <c r="Q1" s="298"/>
      <c r="R1" s="298"/>
    </row>
    <row r="2" spans="2:18" ht="59.25" customHeight="1" x14ac:dyDescent="0.2">
      <c r="B2" s="298" t="s">
        <v>53</v>
      </c>
      <c r="C2" s="298"/>
      <c r="D2" s="298"/>
      <c r="E2" s="298"/>
      <c r="F2" s="298"/>
      <c r="G2" s="298"/>
      <c r="H2" s="298"/>
      <c r="I2" s="298"/>
      <c r="J2" s="298"/>
      <c r="K2" s="298"/>
      <c r="L2" s="298"/>
      <c r="M2" s="298"/>
      <c r="N2" s="298"/>
      <c r="O2" s="298"/>
      <c r="P2" s="298"/>
      <c r="Q2" s="298"/>
      <c r="R2" s="298"/>
    </row>
    <row r="3" spans="2:18" ht="18.75" x14ac:dyDescent="0.2">
      <c r="B3" s="299" t="s">
        <v>11</v>
      </c>
      <c r="C3" s="299"/>
      <c r="D3" s="299"/>
      <c r="E3" s="299"/>
      <c r="F3" s="299"/>
      <c r="G3" s="299"/>
      <c r="H3" s="299"/>
      <c r="I3" s="299"/>
      <c r="J3" s="299"/>
      <c r="K3" s="299"/>
      <c r="L3" s="299"/>
      <c r="M3" s="299"/>
      <c r="N3" s="299"/>
      <c r="O3" s="299"/>
      <c r="P3" s="299"/>
      <c r="Q3" s="299"/>
      <c r="R3" s="299"/>
    </row>
    <row r="4" spans="2:18" ht="18.75" x14ac:dyDescent="0.2">
      <c r="B4" s="299" t="s">
        <v>0</v>
      </c>
      <c r="C4" s="299"/>
      <c r="D4" s="299"/>
      <c r="E4" s="299"/>
      <c r="F4" s="299"/>
      <c r="G4" s="299"/>
      <c r="H4" s="299"/>
      <c r="I4" s="299"/>
      <c r="J4" s="299"/>
      <c r="K4" s="299"/>
      <c r="L4" s="299"/>
      <c r="M4" s="299"/>
      <c r="N4" s="299"/>
      <c r="O4" s="299"/>
      <c r="P4" s="299"/>
      <c r="Q4" s="299"/>
      <c r="R4" s="299"/>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67</v>
      </c>
      <c r="E6" s="59"/>
      <c r="F6" s="59"/>
      <c r="G6" s="59"/>
      <c r="H6" s="59"/>
      <c r="I6" s="31"/>
      <c r="J6" s="31"/>
      <c r="K6" s="31"/>
      <c r="L6" s="31"/>
      <c r="M6" s="31"/>
      <c r="N6" s="31"/>
      <c r="O6" s="31"/>
      <c r="P6" s="31"/>
    </row>
    <row r="7" spans="2:18" ht="18.75" x14ac:dyDescent="0.2">
      <c r="B7" s="297"/>
      <c r="C7" s="297"/>
      <c r="D7" s="297"/>
      <c r="E7" s="31"/>
      <c r="F7" s="31"/>
      <c r="G7" s="31"/>
      <c r="H7" s="31"/>
      <c r="I7" s="31"/>
      <c r="J7" s="31"/>
      <c r="K7" s="31"/>
      <c r="L7" s="301" t="s">
        <v>36</v>
      </c>
      <c r="M7" s="302"/>
      <c r="N7" s="302"/>
      <c r="O7" s="302"/>
      <c r="P7" s="303"/>
      <c r="Q7" s="300">
        <v>384914198</v>
      </c>
      <c r="R7" s="300"/>
    </row>
    <row r="8" spans="2:18" ht="15.75" x14ac:dyDescent="0.25">
      <c r="B8" s="56"/>
      <c r="C8" s="56"/>
      <c r="D8" s="56"/>
      <c r="E8" s="56"/>
      <c r="F8" s="56"/>
      <c r="G8" s="56"/>
      <c r="H8" s="56"/>
      <c r="I8" s="56"/>
      <c r="J8" s="56"/>
      <c r="K8" s="56"/>
      <c r="L8" s="304"/>
      <c r="M8" s="305"/>
      <c r="N8" s="305"/>
      <c r="O8" s="305"/>
      <c r="P8" s="306"/>
      <c r="Q8" s="35">
        <f>ROUND(Q7/R5,0)</f>
        <v>653</v>
      </c>
      <c r="R8" s="34" t="s">
        <v>37</v>
      </c>
    </row>
    <row r="9" spans="2:18" ht="15.75" x14ac:dyDescent="0.2">
      <c r="B9" s="289" t="s">
        <v>35</v>
      </c>
      <c r="C9" s="289"/>
      <c r="D9" s="289"/>
      <c r="E9" s="289"/>
      <c r="F9" s="289"/>
      <c r="G9" s="289"/>
      <c r="H9" s="289"/>
      <c r="I9" s="289"/>
      <c r="J9" s="289"/>
      <c r="K9" s="289"/>
      <c r="L9" s="289"/>
      <c r="M9" s="289"/>
      <c r="N9" s="289"/>
      <c r="O9" s="289"/>
      <c r="P9" s="289"/>
      <c r="Q9" s="289"/>
      <c r="R9" s="289"/>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153</v>
      </c>
      <c r="H11" s="30" t="s">
        <v>4</v>
      </c>
      <c r="I11" s="30" t="s">
        <v>5</v>
      </c>
      <c r="J11" s="30" t="s">
        <v>6</v>
      </c>
      <c r="K11" s="30" t="s">
        <v>44</v>
      </c>
      <c r="L11" s="30" t="s">
        <v>7</v>
      </c>
      <c r="M11" s="30" t="s">
        <v>152</v>
      </c>
      <c r="N11" s="30" t="s">
        <v>156</v>
      </c>
      <c r="O11" s="30" t="s">
        <v>20</v>
      </c>
      <c r="P11" s="30" t="s">
        <v>21</v>
      </c>
      <c r="Q11" s="30" t="s">
        <v>149</v>
      </c>
      <c r="R11" s="30" t="s">
        <v>38</v>
      </c>
    </row>
    <row r="12" spans="2:18" s="81" customFormat="1" ht="72.75" customHeight="1" x14ac:dyDescent="0.2">
      <c r="B12" s="62">
        <v>1</v>
      </c>
      <c r="C12" s="52" t="s">
        <v>67</v>
      </c>
      <c r="D12" s="78" t="s">
        <v>68</v>
      </c>
      <c r="E12" s="89">
        <v>40938</v>
      </c>
      <c r="F12" s="89">
        <v>41283</v>
      </c>
      <c r="G12" s="90">
        <v>0.5</v>
      </c>
      <c r="H12" s="90" t="s">
        <v>10</v>
      </c>
      <c r="I12" s="52" t="s">
        <v>64</v>
      </c>
      <c r="J12" s="91">
        <v>939078059</v>
      </c>
      <c r="K12" s="91">
        <f>+J12*N12</f>
        <v>939078059</v>
      </c>
      <c r="L12" s="92">
        <f>K12/566700</f>
        <v>1657.0990982883359</v>
      </c>
      <c r="M12" s="92" t="str">
        <f>IF((F12-E12)&gt;120,"CUMPLE")</f>
        <v>CUMPLE</v>
      </c>
      <c r="N12" s="92" t="str">
        <f>IF(G12&gt;=30%,"100%")</f>
        <v>100%</v>
      </c>
      <c r="O12" s="92" t="s">
        <v>151</v>
      </c>
      <c r="P12" s="294" t="s">
        <v>150</v>
      </c>
      <c r="Q12" s="79">
        <f>+L12</f>
        <v>1657.0990982883359</v>
      </c>
      <c r="R12" s="127" t="s">
        <v>154</v>
      </c>
    </row>
    <row r="13" spans="2:18" s="81" customFormat="1" ht="191.25" x14ac:dyDescent="0.2">
      <c r="B13" s="63">
        <v>2</v>
      </c>
      <c r="C13" s="53" t="s">
        <v>67</v>
      </c>
      <c r="D13" s="132" t="s">
        <v>69</v>
      </c>
      <c r="E13" s="94">
        <v>40945</v>
      </c>
      <c r="F13" s="94">
        <v>41236</v>
      </c>
      <c r="G13" s="95">
        <v>0.5</v>
      </c>
      <c r="H13" s="96" t="s">
        <v>10</v>
      </c>
      <c r="I13" s="53" t="s">
        <v>64</v>
      </c>
      <c r="J13" s="97">
        <v>1141972664</v>
      </c>
      <c r="K13" s="97">
        <f>+J13*N13</f>
        <v>1141972664</v>
      </c>
      <c r="L13" s="98">
        <f>K13/566700</f>
        <v>2015.127340744662</v>
      </c>
      <c r="M13" s="98" t="str">
        <f>IF((F13-E13)&gt;120,"CUMPLE")</f>
        <v>CUMPLE</v>
      </c>
      <c r="N13" s="98" t="str">
        <f>IF(G13&gt;=30%,"100%")</f>
        <v>100%</v>
      </c>
      <c r="O13" s="98"/>
      <c r="P13" s="295"/>
      <c r="Q13" s="134"/>
      <c r="R13" s="139" t="s">
        <v>161</v>
      </c>
    </row>
    <row r="14" spans="2:18" s="128" customFormat="1" x14ac:dyDescent="0.2">
      <c r="B14" s="63"/>
      <c r="C14" s="53"/>
      <c r="D14" s="77"/>
      <c r="E14" s="94"/>
      <c r="F14" s="94"/>
      <c r="G14" s="95"/>
      <c r="H14" s="96"/>
      <c r="I14" s="53"/>
      <c r="J14" s="97"/>
      <c r="K14" s="97"/>
      <c r="L14" s="98"/>
      <c r="M14" s="98"/>
      <c r="N14" s="98"/>
      <c r="O14" s="98"/>
      <c r="P14" s="133"/>
      <c r="Q14" s="134"/>
      <c r="R14" s="129"/>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195</v>
      </c>
      <c r="C17" s="122"/>
      <c r="D17" s="122"/>
      <c r="E17" s="122"/>
      <c r="F17" s="122"/>
      <c r="G17" s="122"/>
      <c r="H17" s="26"/>
      <c r="I17" s="26"/>
    </row>
    <row r="18" spans="2:17" ht="45.75" customHeight="1" thickBot="1" x14ac:dyDescent="0.25">
      <c r="B18" s="287" t="s">
        <v>194</v>
      </c>
      <c r="C18" s="292"/>
      <c r="D18" s="292"/>
      <c r="E18" s="292"/>
      <c r="F18" s="292"/>
      <c r="G18" s="292"/>
      <c r="H18" s="292"/>
      <c r="I18" s="292"/>
    </row>
    <row r="19" spans="2:17" s="3" customFormat="1" ht="21.75" customHeight="1" x14ac:dyDescent="0.2">
      <c r="B19" s="122" t="s">
        <v>54</v>
      </c>
      <c r="C19" s="122"/>
      <c r="D19" s="122"/>
      <c r="E19" s="122"/>
      <c r="F19" s="122"/>
      <c r="G19" s="122"/>
      <c r="H19" s="122"/>
      <c r="I19" s="123"/>
      <c r="J19" s="290" t="s">
        <v>33</v>
      </c>
      <c r="K19" s="291"/>
      <c r="L19" s="276">
        <f>SUM(K12:K15)</f>
        <v>2081050723</v>
      </c>
      <c r="M19" s="276"/>
      <c r="N19" s="276"/>
      <c r="O19" s="276"/>
      <c r="P19" s="277"/>
      <c r="Q19" s="37">
        <f>SUM(L12:L15)</f>
        <v>3672.2264390329979</v>
      </c>
    </row>
    <row r="20" spans="2:17" ht="24.75" customHeight="1" x14ac:dyDescent="0.2">
      <c r="B20" s="287" t="s">
        <v>155</v>
      </c>
      <c r="C20" s="287"/>
      <c r="D20" s="287"/>
      <c r="E20" s="287"/>
      <c r="F20" s="287"/>
      <c r="G20" s="287"/>
      <c r="H20" s="287"/>
      <c r="I20" s="288"/>
      <c r="J20" s="278" t="s">
        <v>12</v>
      </c>
      <c r="K20" s="279"/>
      <c r="L20" s="279"/>
      <c r="M20" s="279"/>
      <c r="N20" s="279"/>
      <c r="O20" s="279"/>
      <c r="P20" s="279"/>
      <c r="Q20" s="280"/>
    </row>
    <row r="21" spans="2:17" ht="21.75" customHeight="1" x14ac:dyDescent="0.2">
      <c r="B21" s="122"/>
      <c r="C21" s="122"/>
      <c r="D21" s="122"/>
      <c r="E21" s="122"/>
      <c r="F21" s="122"/>
      <c r="G21" s="122"/>
      <c r="J21" s="38" t="s">
        <v>20</v>
      </c>
      <c r="K21" s="54"/>
      <c r="L21" s="281" t="s">
        <v>8</v>
      </c>
      <c r="M21" s="282"/>
      <c r="N21" s="282"/>
      <c r="O21" s="282"/>
      <c r="P21" s="282"/>
      <c r="Q21" s="283"/>
    </row>
    <row r="22" spans="2:17" ht="21.75" customHeight="1" x14ac:dyDescent="0.2">
      <c r="B22" s="108"/>
      <c r="C22" s="111"/>
      <c r="D22" s="111"/>
      <c r="E22" s="111"/>
      <c r="F22" s="111"/>
      <c r="G22" s="111"/>
      <c r="J22" s="38" t="s">
        <v>21</v>
      </c>
      <c r="K22" s="181" t="s">
        <v>184</v>
      </c>
      <c r="L22" s="281" t="s">
        <v>185</v>
      </c>
      <c r="M22" s="282"/>
      <c r="N22" s="282"/>
      <c r="O22" s="282"/>
      <c r="P22" s="282"/>
      <c r="Q22" s="283"/>
    </row>
    <row r="23" spans="2:17" ht="21.75" customHeight="1" thickBot="1" x14ac:dyDescent="0.25">
      <c r="B23" s="108"/>
      <c r="C23" s="111"/>
      <c r="D23" s="111"/>
      <c r="E23" s="111"/>
      <c r="F23" s="111"/>
      <c r="G23" s="111"/>
      <c r="J23" s="39" t="s">
        <v>149</v>
      </c>
      <c r="K23" s="55"/>
      <c r="L23" s="284" t="s">
        <v>8</v>
      </c>
      <c r="M23" s="285"/>
      <c r="N23" s="285"/>
      <c r="O23" s="285"/>
      <c r="P23" s="285"/>
      <c r="Q23" s="286"/>
    </row>
    <row r="24" spans="2:17" x14ac:dyDescent="0.2">
      <c r="B24" t="s">
        <v>198</v>
      </c>
    </row>
    <row r="25" spans="2:17" x14ac:dyDescent="0.2">
      <c r="C25" s="15" t="s">
        <v>45</v>
      </c>
    </row>
    <row r="26" spans="2:17" x14ac:dyDescent="0.2">
      <c r="C26" t="s">
        <v>41</v>
      </c>
      <c r="D26" s="44"/>
      <c r="E26" s="44">
        <f>D26/589500</f>
        <v>0</v>
      </c>
    </row>
    <row r="27" spans="2:17" x14ac:dyDescent="0.2">
      <c r="C27" s="307" t="s">
        <v>197</v>
      </c>
      <c r="D27" s="307"/>
      <c r="E27" s="44">
        <f>D27/589500</f>
        <v>0</v>
      </c>
    </row>
  </sheetData>
  <mergeCells count="18">
    <mergeCell ref="P12:P13"/>
    <mergeCell ref="B9:R9"/>
    <mergeCell ref="B18:I18"/>
    <mergeCell ref="J19:K19"/>
    <mergeCell ref="L19:P19"/>
    <mergeCell ref="B1:R1"/>
    <mergeCell ref="B2:R2"/>
    <mergeCell ref="B3:R3"/>
    <mergeCell ref="B4:R4"/>
    <mergeCell ref="B7:D7"/>
    <mergeCell ref="L7:P8"/>
    <mergeCell ref="Q7:R7"/>
    <mergeCell ref="J20:Q20"/>
    <mergeCell ref="L21:Q21"/>
    <mergeCell ref="L22:Q22"/>
    <mergeCell ref="L23:Q23"/>
    <mergeCell ref="C27:D27"/>
    <mergeCell ref="B20:I20"/>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I28"/>
  <sheetViews>
    <sheetView tabSelected="1" view="pageBreakPreview" topLeftCell="A5" zoomScale="85" zoomScaleNormal="64" zoomScaleSheetLayoutView="85" workbookViewId="0">
      <selection activeCell="I15" sqref="I15"/>
    </sheetView>
  </sheetViews>
  <sheetFormatPr baseColWidth="10" defaultRowHeight="12.75" x14ac:dyDescent="0.2"/>
  <cols>
    <col min="1" max="1" width="1.42578125" style="16" customWidth="1"/>
    <col min="2" max="2" width="11.7109375" style="16" customWidth="1"/>
    <col min="3" max="3" width="42.140625" style="16" customWidth="1"/>
    <col min="4" max="4" width="11.7109375" style="16" customWidth="1"/>
    <col min="5" max="8" width="12.7109375" style="16" customWidth="1"/>
    <col min="9" max="9" width="82.140625" style="16" customWidth="1"/>
    <col min="10" max="10" width="1.140625" style="16" customWidth="1"/>
    <col min="11" max="16384" width="11.42578125" style="16"/>
  </cols>
  <sheetData>
    <row r="1" spans="2:9" ht="15.75" x14ac:dyDescent="0.2">
      <c r="B1" s="313" t="s">
        <v>13</v>
      </c>
      <c r="C1" s="313"/>
      <c r="D1" s="313"/>
      <c r="E1" s="313"/>
      <c r="F1" s="313"/>
      <c r="G1" s="313"/>
      <c r="H1" s="313"/>
      <c r="I1" s="313"/>
    </row>
    <row r="2" spans="2:9" x14ac:dyDescent="0.2">
      <c r="B2" s="16" t="s">
        <v>14</v>
      </c>
    </row>
    <row r="3" spans="2:9" ht="59.25" customHeight="1" x14ac:dyDescent="0.2">
      <c r="B3" s="314" t="str">
        <f>+'Exp. Gen (1)'!B2:R2</f>
        <v>"CONTRATAR LA CONSULTORIA ESPECIALIZADA PARA LA ELABORACIÓN DE LOS ESTUDIOS, DISEÑOS Y LA GESTIÓN PREDIAL PARA LA CONSTRUCCIÓN DE LOS PUENTES PEATONALES “CAMILO TORRES”, “DORADO” y “DUCALES”, EN EL SECTOR DE SOACHA DEL PROYECTO VIAL BOSA-GRANADA-GIRARDOT"</v>
      </c>
      <c r="C3" s="314"/>
      <c r="D3" s="314"/>
      <c r="E3" s="314"/>
      <c r="F3" s="314"/>
      <c r="G3" s="314"/>
      <c r="H3" s="314"/>
      <c r="I3" s="314"/>
    </row>
    <row r="4" spans="2:9" ht="15.75" x14ac:dyDescent="0.2">
      <c r="B4" s="313" t="str">
        <f>+'Exp. Gen (1)'!B1:R1</f>
        <v>PROCESO VJ-VGC-CM-008-2013</v>
      </c>
      <c r="C4" s="313"/>
      <c r="D4" s="313"/>
      <c r="E4" s="313"/>
      <c r="F4" s="313"/>
      <c r="G4" s="313"/>
      <c r="H4" s="313"/>
      <c r="I4" s="313"/>
    </row>
    <row r="5" spans="2:9" x14ac:dyDescent="0.2">
      <c r="B5" s="315"/>
      <c r="C5" s="315"/>
      <c r="D5" s="315"/>
      <c r="E5" s="315"/>
      <c r="F5" s="315"/>
      <c r="G5" s="315"/>
      <c r="H5" s="315"/>
      <c r="I5" s="315"/>
    </row>
    <row r="6" spans="2:9" x14ac:dyDescent="0.2">
      <c r="B6" s="316" t="s">
        <v>31</v>
      </c>
      <c r="C6" s="316"/>
      <c r="D6" s="316"/>
      <c r="E6" s="316"/>
      <c r="F6" s="316"/>
      <c r="G6" s="316"/>
      <c r="H6" s="316"/>
      <c r="I6" s="316"/>
    </row>
    <row r="7" spans="2:9" ht="13.5" thickBot="1" x14ac:dyDescent="0.25"/>
    <row r="8" spans="2:9" ht="17.25" customHeight="1" x14ac:dyDescent="0.2">
      <c r="B8" s="309" t="s">
        <v>16</v>
      </c>
      <c r="C8" s="311" t="s">
        <v>17</v>
      </c>
      <c r="D8" s="350" t="s">
        <v>32</v>
      </c>
      <c r="E8" s="351"/>
      <c r="F8" s="351"/>
      <c r="G8" s="351"/>
      <c r="H8" s="352"/>
      <c r="I8" s="348" t="s">
        <v>19</v>
      </c>
    </row>
    <row r="9" spans="2:9" ht="33.75" customHeight="1" thickBot="1" x14ac:dyDescent="0.25">
      <c r="B9" s="310"/>
      <c r="C9" s="312"/>
      <c r="D9" s="252" t="s">
        <v>215</v>
      </c>
      <c r="E9" s="20" t="s">
        <v>20</v>
      </c>
      <c r="F9" s="20" t="s">
        <v>21</v>
      </c>
      <c r="G9" s="20" t="s">
        <v>149</v>
      </c>
      <c r="H9" s="21" t="s">
        <v>25</v>
      </c>
      <c r="I9" s="349"/>
    </row>
    <row r="10" spans="2:9" ht="13.5" thickBot="1" x14ac:dyDescent="0.25"/>
    <row r="11" spans="2:9" ht="24.95" customHeight="1" x14ac:dyDescent="0.2">
      <c r="B11" s="22">
        <v>1</v>
      </c>
      <c r="C11" s="204" t="s">
        <v>58</v>
      </c>
      <c r="D11" s="205" t="s">
        <v>216</v>
      </c>
      <c r="E11" s="205" t="s">
        <v>8</v>
      </c>
      <c r="F11" s="205" t="s">
        <v>8</v>
      </c>
      <c r="G11" s="205" t="s">
        <v>8</v>
      </c>
      <c r="H11" s="268" t="s">
        <v>164</v>
      </c>
      <c r="I11" s="255" t="s">
        <v>219</v>
      </c>
    </row>
    <row r="12" spans="2:9" ht="39.75" customHeight="1" x14ac:dyDescent="0.2">
      <c r="B12" s="66">
        <v>2</v>
      </c>
      <c r="C12" s="202" t="s">
        <v>67</v>
      </c>
      <c r="D12" s="253" t="s">
        <v>216</v>
      </c>
      <c r="E12" s="206" t="s">
        <v>8</v>
      </c>
      <c r="F12" s="206" t="s">
        <v>164</v>
      </c>
      <c r="G12" s="206" t="s">
        <v>164</v>
      </c>
      <c r="H12" s="267" t="s">
        <v>164</v>
      </c>
      <c r="I12" s="256" t="s">
        <v>226</v>
      </c>
    </row>
    <row r="13" spans="2:9" ht="24.95" customHeight="1" x14ac:dyDescent="0.2">
      <c r="B13" s="66">
        <v>3</v>
      </c>
      <c r="C13" s="202" t="s">
        <v>71</v>
      </c>
      <c r="D13" s="253" t="s">
        <v>216</v>
      </c>
      <c r="E13" s="206" t="s">
        <v>8</v>
      </c>
      <c r="F13" s="206" t="s">
        <v>8</v>
      </c>
      <c r="G13" s="206" t="s">
        <v>8</v>
      </c>
      <c r="H13" s="267" t="s">
        <v>164</v>
      </c>
      <c r="I13" s="256" t="s">
        <v>219</v>
      </c>
    </row>
    <row r="14" spans="2:9" ht="24.95" customHeight="1" x14ac:dyDescent="0.2">
      <c r="B14" s="66">
        <v>4</v>
      </c>
      <c r="C14" s="202" t="s">
        <v>76</v>
      </c>
      <c r="D14" s="253" t="s">
        <v>151</v>
      </c>
      <c r="E14" s="206" t="s">
        <v>8</v>
      </c>
      <c r="F14" s="206" t="s">
        <v>8</v>
      </c>
      <c r="G14" s="206" t="s">
        <v>164</v>
      </c>
      <c r="H14" s="267" t="s">
        <v>164</v>
      </c>
      <c r="I14" s="256" t="s">
        <v>217</v>
      </c>
    </row>
    <row r="15" spans="2:9" ht="24.95" customHeight="1" x14ac:dyDescent="0.2">
      <c r="B15" s="66">
        <v>5</v>
      </c>
      <c r="C15" s="202" t="s">
        <v>85</v>
      </c>
      <c r="D15" s="253" t="s">
        <v>216</v>
      </c>
      <c r="E15" s="206" t="s">
        <v>8</v>
      </c>
      <c r="F15" s="206" t="s">
        <v>8</v>
      </c>
      <c r="G15" s="206" t="s">
        <v>8</v>
      </c>
      <c r="H15" s="267" t="s">
        <v>164</v>
      </c>
      <c r="I15" s="256" t="s">
        <v>219</v>
      </c>
    </row>
    <row r="16" spans="2:9" ht="45" x14ac:dyDescent="0.2">
      <c r="B16" s="66">
        <v>6</v>
      </c>
      <c r="C16" s="202" t="s">
        <v>91</v>
      </c>
      <c r="D16" s="253" t="s">
        <v>216</v>
      </c>
      <c r="E16" s="206" t="s">
        <v>8</v>
      </c>
      <c r="F16" s="206" t="s">
        <v>8</v>
      </c>
      <c r="G16" s="206" t="s">
        <v>164</v>
      </c>
      <c r="H16" s="267" t="s">
        <v>164</v>
      </c>
      <c r="I16" s="256" t="s">
        <v>220</v>
      </c>
    </row>
    <row r="17" spans="2:9" ht="24.95" customHeight="1" x14ac:dyDescent="0.2">
      <c r="B17" s="66">
        <v>7</v>
      </c>
      <c r="C17" s="202" t="s">
        <v>104</v>
      </c>
      <c r="D17" s="253" t="s">
        <v>216</v>
      </c>
      <c r="E17" s="206" t="s">
        <v>8</v>
      </c>
      <c r="F17" s="206" t="s">
        <v>8</v>
      </c>
      <c r="G17" s="206" t="s">
        <v>8</v>
      </c>
      <c r="H17" s="267" t="s">
        <v>164</v>
      </c>
      <c r="I17" s="256" t="s">
        <v>219</v>
      </c>
    </row>
    <row r="18" spans="2:9" ht="24.95" customHeight="1" x14ac:dyDescent="0.2">
      <c r="B18" s="66">
        <v>8</v>
      </c>
      <c r="C18" s="202" t="s">
        <v>196</v>
      </c>
      <c r="D18" s="253" t="s">
        <v>151</v>
      </c>
      <c r="E18" s="206" t="s">
        <v>8</v>
      </c>
      <c r="F18" s="206" t="s">
        <v>8</v>
      </c>
      <c r="G18" s="206" t="s">
        <v>8</v>
      </c>
      <c r="H18" s="200" t="s">
        <v>22</v>
      </c>
      <c r="I18" s="256" t="s">
        <v>218</v>
      </c>
    </row>
    <row r="19" spans="2:9" ht="24.95" customHeight="1" thickBot="1" x14ac:dyDescent="0.25">
      <c r="B19" s="40">
        <v>9</v>
      </c>
      <c r="C19" s="203" t="s">
        <v>123</v>
      </c>
      <c r="D19" s="254" t="s">
        <v>151</v>
      </c>
      <c r="E19" s="42" t="s">
        <v>8</v>
      </c>
      <c r="F19" s="42" t="s">
        <v>8</v>
      </c>
      <c r="G19" s="42" t="s">
        <v>8</v>
      </c>
      <c r="H19" s="201" t="s">
        <v>22</v>
      </c>
      <c r="I19" s="257" t="s">
        <v>218</v>
      </c>
    </row>
    <row r="21" spans="2:9" x14ac:dyDescent="0.2">
      <c r="B21" s="326" t="s">
        <v>175</v>
      </c>
      <c r="C21" s="326"/>
      <c r="D21" s="326"/>
      <c r="E21" s="326"/>
      <c r="F21" s="326"/>
      <c r="G21" s="326"/>
      <c r="H21" s="326"/>
    </row>
    <row r="22" spans="2:9" ht="15.75" customHeight="1" x14ac:dyDescent="0.2">
      <c r="B22" s="152" t="s">
        <v>173</v>
      </c>
      <c r="C22" s="151"/>
      <c r="D22" s="151"/>
      <c r="E22" s="151"/>
      <c r="F22" s="151"/>
      <c r="G22" s="151"/>
      <c r="H22" s="151"/>
      <c r="I22" s="43"/>
    </row>
    <row r="23" spans="2:9" ht="15" customHeight="1" x14ac:dyDescent="0.2">
      <c r="B23" s="152" t="s">
        <v>172</v>
      </c>
      <c r="C23" s="151"/>
      <c r="D23" s="151"/>
      <c r="E23" s="151"/>
      <c r="F23" s="151"/>
      <c r="G23" s="151"/>
      <c r="H23" s="151"/>
      <c r="I23" s="43"/>
    </row>
    <row r="24" spans="2:9" ht="15" customHeight="1" x14ac:dyDescent="0.2">
      <c r="B24" s="15"/>
      <c r="C24" s="43"/>
      <c r="D24" s="43"/>
      <c r="E24" s="43"/>
      <c r="F24" s="43"/>
      <c r="G24" s="43"/>
      <c r="H24" s="43"/>
      <c r="I24" s="43"/>
    </row>
    <row r="25" spans="2:9" ht="20.25" customHeight="1" x14ac:dyDescent="0.2">
      <c r="B25" t="s">
        <v>42</v>
      </c>
      <c r="C25"/>
      <c r="D25"/>
      <c r="E25" s="43"/>
      <c r="F25" s="43"/>
      <c r="G25" s="43"/>
      <c r="H25" s="43"/>
      <c r="I25" s="43"/>
    </row>
    <row r="26" spans="2:9" ht="15.75" x14ac:dyDescent="0.25">
      <c r="B26"/>
      <c r="C26" s="15" t="s">
        <v>46</v>
      </c>
      <c r="D26" s="15"/>
      <c r="E26" s="17"/>
      <c r="F26" s="17"/>
      <c r="G26" s="17"/>
    </row>
    <row r="27" spans="2:9" ht="15.75" x14ac:dyDescent="0.25">
      <c r="B27"/>
      <c r="C27" s="15" t="s">
        <v>41</v>
      </c>
      <c r="D27" s="15"/>
      <c r="E27" s="17"/>
      <c r="F27" s="17"/>
      <c r="G27" s="17"/>
    </row>
    <row r="28" spans="2:9" x14ac:dyDescent="0.2">
      <c r="B28"/>
      <c r="C28" s="15" t="s">
        <v>197</v>
      </c>
      <c r="D28" s="15"/>
    </row>
  </sheetData>
  <mergeCells count="10">
    <mergeCell ref="B21:H21"/>
    <mergeCell ref="I8:I9"/>
    <mergeCell ref="B1:I1"/>
    <mergeCell ref="B3:I3"/>
    <mergeCell ref="B4:I4"/>
    <mergeCell ref="B5:I5"/>
    <mergeCell ref="B6:I6"/>
    <mergeCell ref="B8:B9"/>
    <mergeCell ref="C8:C9"/>
    <mergeCell ref="D8:H8"/>
  </mergeCells>
  <printOptions horizontalCentered="1"/>
  <pageMargins left="0.70866141732283472" right="0.70866141732283472" top="0.74803149606299213" bottom="0.74803149606299213" header="0.31496062992125984" footer="0.31496062992125984"/>
  <pageSetup scale="6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27"/>
  <sheetViews>
    <sheetView view="pageBreakPreview" topLeftCell="A11" zoomScale="85" zoomScaleNormal="55" zoomScaleSheetLayoutView="85" workbookViewId="0">
      <selection activeCell="F14" sqref="F14"/>
    </sheetView>
  </sheetViews>
  <sheetFormatPr baseColWidth="10" defaultRowHeight="12.75" x14ac:dyDescent="0.2"/>
  <cols>
    <col min="1" max="1" width="12" style="16" customWidth="1"/>
    <col min="2" max="2" width="44.140625" style="16" customWidth="1"/>
    <col min="3" max="3" width="18.5703125" style="16" customWidth="1"/>
    <col min="4" max="4" width="17.7109375" style="16" customWidth="1"/>
    <col min="5" max="5" width="13.85546875" style="16" customWidth="1"/>
    <col min="6" max="7" width="13.7109375" style="16" customWidth="1"/>
    <col min="8" max="8" width="61.140625" style="16" customWidth="1"/>
    <col min="9" max="9" width="3.5703125" style="16" customWidth="1"/>
    <col min="10" max="16384" width="11.42578125" style="16"/>
  </cols>
  <sheetData>
    <row r="1" spans="1:8" ht="15.75" x14ac:dyDescent="0.2">
      <c r="A1" s="313" t="s">
        <v>13</v>
      </c>
      <c r="B1" s="313"/>
      <c r="C1" s="313"/>
      <c r="D1" s="313"/>
      <c r="E1" s="313"/>
      <c r="F1" s="313"/>
      <c r="G1" s="313"/>
      <c r="H1" s="313"/>
    </row>
    <row r="2" spans="1:8" x14ac:dyDescent="0.2">
      <c r="A2" s="16" t="s">
        <v>14</v>
      </c>
    </row>
    <row r="3" spans="1:8" ht="59.25" customHeight="1" x14ac:dyDescent="0.2">
      <c r="A3" s="69"/>
      <c r="B3" s="314" t="str">
        <f>+'Exp. Gen (1)'!B2:R2</f>
        <v>"CONTRATAR LA CONSULTORIA ESPECIALIZADA PARA LA ELABORACIÓN DE LOS ESTUDIOS, DISEÑOS Y LA GESTIÓN PREDIAL PARA LA CONSTRUCCIÓN DE LOS PUENTES PEATONALES “CAMILO TORRES”, “DORADO” y “DUCALES”, EN EL SECTOR DE SOACHA DEL PROYECTO VIAL BOSA-GRANADA-GIRARDOT"</v>
      </c>
      <c r="C3" s="314"/>
      <c r="D3" s="314"/>
      <c r="E3" s="314"/>
      <c r="F3" s="314"/>
      <c r="G3" s="314"/>
      <c r="H3" s="314"/>
    </row>
    <row r="4" spans="1:8" ht="15.75" x14ac:dyDescent="0.2">
      <c r="A4" s="69"/>
      <c r="B4" s="313" t="str">
        <f>+'Exp. Gen (1)'!B1:R1</f>
        <v>PROCESO VJ-VGC-CM-008-2013</v>
      </c>
      <c r="C4" s="313"/>
      <c r="D4" s="313"/>
      <c r="E4" s="313"/>
      <c r="F4" s="313"/>
      <c r="G4" s="313"/>
      <c r="H4" s="313"/>
    </row>
    <row r="5" spans="1:8" x14ac:dyDescent="0.2">
      <c r="A5" s="315"/>
      <c r="B5" s="315"/>
      <c r="C5" s="315"/>
      <c r="D5" s="315"/>
      <c r="E5" s="315"/>
      <c r="F5" s="315"/>
      <c r="G5" s="315"/>
      <c r="H5" s="315"/>
    </row>
    <row r="6" spans="1:8" x14ac:dyDescent="0.2">
      <c r="A6" s="70"/>
      <c r="B6" s="316" t="s">
        <v>40</v>
      </c>
      <c r="C6" s="316"/>
      <c r="D6" s="316"/>
      <c r="E6" s="316"/>
      <c r="F6" s="316"/>
      <c r="G6" s="316"/>
      <c r="H6" s="316"/>
    </row>
    <row r="7" spans="1:8" x14ac:dyDescent="0.2">
      <c r="A7" s="33"/>
      <c r="B7" s="33"/>
      <c r="C7" s="33"/>
      <c r="D7" s="33"/>
      <c r="E7" s="51"/>
      <c r="F7" s="51"/>
      <c r="G7" s="51"/>
      <c r="H7" s="33"/>
    </row>
    <row r="8" spans="1:8" x14ac:dyDescent="0.2">
      <c r="A8" s="70"/>
      <c r="B8" s="316" t="s">
        <v>39</v>
      </c>
      <c r="C8" s="316"/>
      <c r="D8" s="316"/>
      <c r="E8" s="316"/>
      <c r="F8" s="316"/>
      <c r="G8" s="316"/>
      <c r="H8" s="316"/>
    </row>
    <row r="9" spans="1:8" ht="13.5" thickBot="1" x14ac:dyDescent="0.25"/>
    <row r="10" spans="1:8" ht="25.5" customHeight="1" x14ac:dyDescent="0.2">
      <c r="A10" s="309" t="s">
        <v>16</v>
      </c>
      <c r="B10" s="311" t="s">
        <v>17</v>
      </c>
      <c r="C10" s="50" t="s">
        <v>18</v>
      </c>
      <c r="D10" s="32" t="s">
        <v>32</v>
      </c>
      <c r="E10" s="350" t="s">
        <v>48</v>
      </c>
      <c r="F10" s="352"/>
      <c r="G10" s="58" t="s">
        <v>48</v>
      </c>
      <c r="H10" s="348" t="s">
        <v>19</v>
      </c>
    </row>
    <row r="11" spans="1:8" ht="39.75" customHeight="1" thickBot="1" x14ac:dyDescent="0.25">
      <c r="A11" s="310"/>
      <c r="B11" s="312"/>
      <c r="C11" s="20" t="s">
        <v>25</v>
      </c>
      <c r="D11" s="20" t="s">
        <v>25</v>
      </c>
      <c r="E11" s="57" t="s">
        <v>49</v>
      </c>
      <c r="F11" s="57" t="s">
        <v>50</v>
      </c>
      <c r="G11" s="57" t="s">
        <v>51</v>
      </c>
      <c r="H11" s="349"/>
    </row>
    <row r="12" spans="1:8" ht="27" customHeight="1" thickBot="1" x14ac:dyDescent="0.25"/>
    <row r="13" spans="1:8" ht="36" customHeight="1" x14ac:dyDescent="0.2">
      <c r="A13" s="22">
        <v>1</v>
      </c>
      <c r="B13" s="7" t="s">
        <v>58</v>
      </c>
      <c r="C13" s="210" t="s">
        <v>22</v>
      </c>
      <c r="D13" s="210" t="s">
        <v>164</v>
      </c>
      <c r="E13" s="210"/>
      <c r="F13" s="210">
        <v>100</v>
      </c>
      <c r="G13" s="258"/>
      <c r="H13" s="255" t="s">
        <v>219</v>
      </c>
    </row>
    <row r="14" spans="1:8" ht="36" customHeight="1" x14ac:dyDescent="0.2">
      <c r="A14" s="179">
        <v>2</v>
      </c>
      <c r="B14" s="6" t="s">
        <v>67</v>
      </c>
      <c r="C14" s="46" t="s">
        <v>22</v>
      </c>
      <c r="D14" s="46" t="s">
        <v>22</v>
      </c>
      <c r="E14" s="46"/>
      <c r="F14" s="46">
        <v>100</v>
      </c>
      <c r="G14" s="259"/>
      <c r="H14" s="256" t="s">
        <v>226</v>
      </c>
    </row>
    <row r="15" spans="1:8" ht="36" customHeight="1" x14ac:dyDescent="0.2">
      <c r="A15" s="179">
        <v>3</v>
      </c>
      <c r="B15" s="6" t="s">
        <v>71</v>
      </c>
      <c r="C15" s="46" t="s">
        <v>22</v>
      </c>
      <c r="D15" s="46" t="s">
        <v>164</v>
      </c>
      <c r="E15" s="46"/>
      <c r="F15" s="46">
        <v>100</v>
      </c>
      <c r="G15" s="259"/>
      <c r="H15" s="274" t="s">
        <v>219</v>
      </c>
    </row>
    <row r="16" spans="1:8" ht="36" customHeight="1" x14ac:dyDescent="0.2">
      <c r="A16" s="179">
        <v>4</v>
      </c>
      <c r="B16" s="6" t="s">
        <v>76</v>
      </c>
      <c r="C16" s="46" t="s">
        <v>22</v>
      </c>
      <c r="D16" s="46" t="s">
        <v>164</v>
      </c>
      <c r="E16" s="46"/>
      <c r="F16" s="46">
        <v>100</v>
      </c>
      <c r="G16" s="259"/>
      <c r="H16" s="274" t="s">
        <v>217</v>
      </c>
    </row>
    <row r="17" spans="1:8" ht="36" customHeight="1" x14ac:dyDescent="0.2">
      <c r="A17" s="179">
        <v>5</v>
      </c>
      <c r="B17" s="6" t="s">
        <v>85</v>
      </c>
      <c r="C17" s="46" t="s">
        <v>22</v>
      </c>
      <c r="D17" s="46" t="s">
        <v>22</v>
      </c>
      <c r="E17" s="46"/>
      <c r="F17" s="46">
        <v>100</v>
      </c>
      <c r="G17" s="259"/>
      <c r="H17" s="256" t="s">
        <v>219</v>
      </c>
    </row>
    <row r="18" spans="1:8" ht="63" customHeight="1" x14ac:dyDescent="0.2">
      <c r="A18" s="179">
        <v>6</v>
      </c>
      <c r="B18" s="6" t="s">
        <v>91</v>
      </c>
      <c r="C18" s="46" t="s">
        <v>22</v>
      </c>
      <c r="D18" s="46" t="s">
        <v>164</v>
      </c>
      <c r="E18" s="46"/>
      <c r="F18" s="46">
        <v>100</v>
      </c>
      <c r="G18" s="259"/>
      <c r="H18" s="274" t="s">
        <v>220</v>
      </c>
    </row>
    <row r="19" spans="1:8" ht="36" customHeight="1" x14ac:dyDescent="0.2">
      <c r="A19" s="179">
        <v>7</v>
      </c>
      <c r="B19" s="6" t="s">
        <v>104</v>
      </c>
      <c r="C19" s="46" t="s">
        <v>22</v>
      </c>
      <c r="D19" s="46" t="s">
        <v>22</v>
      </c>
      <c r="E19" s="46"/>
      <c r="F19" s="46">
        <v>100</v>
      </c>
      <c r="G19" s="259"/>
      <c r="H19" s="256" t="s">
        <v>219</v>
      </c>
    </row>
    <row r="20" spans="1:8" ht="36" customHeight="1" x14ac:dyDescent="0.2">
      <c r="A20" s="179">
        <v>8</v>
      </c>
      <c r="B20" s="6" t="s">
        <v>196</v>
      </c>
      <c r="C20" s="46" t="s">
        <v>22</v>
      </c>
      <c r="D20" s="46" t="s">
        <v>22</v>
      </c>
      <c r="E20" s="46">
        <v>900</v>
      </c>
      <c r="F20" s="46">
        <v>100</v>
      </c>
      <c r="G20" s="259">
        <v>1000</v>
      </c>
      <c r="H20" s="261" t="s">
        <v>218</v>
      </c>
    </row>
    <row r="21" spans="1:8" ht="36" customHeight="1" thickBot="1" x14ac:dyDescent="0.25">
      <c r="A21" s="40">
        <v>9</v>
      </c>
      <c r="B21" s="41" t="s">
        <v>123</v>
      </c>
      <c r="C21" s="47" t="s">
        <v>22</v>
      </c>
      <c r="D21" s="47" t="s">
        <v>22</v>
      </c>
      <c r="E21" s="47">
        <v>900</v>
      </c>
      <c r="F21" s="47">
        <v>100</v>
      </c>
      <c r="G21" s="260">
        <v>1000</v>
      </c>
      <c r="H21" s="262" t="s">
        <v>221</v>
      </c>
    </row>
    <row r="24" spans="1:8" ht="18.75" customHeight="1" x14ac:dyDescent="0.2">
      <c r="A24" t="s">
        <v>42</v>
      </c>
      <c r="B24"/>
      <c r="C24" s="43"/>
      <c r="D24" s="43"/>
      <c r="E24" s="43"/>
      <c r="F24" s="43"/>
      <c r="G24" s="43"/>
      <c r="H24" s="43"/>
    </row>
    <row r="25" spans="1:8" ht="18.75" customHeight="1" x14ac:dyDescent="0.2">
      <c r="A25"/>
      <c r="B25" s="15" t="s">
        <v>47</v>
      </c>
      <c r="C25" s="43"/>
      <c r="D25" s="43"/>
      <c r="E25" s="43"/>
      <c r="F25" s="43"/>
      <c r="G25" s="43"/>
      <c r="H25" s="43"/>
    </row>
    <row r="26" spans="1:8" ht="18.75" customHeight="1" x14ac:dyDescent="0.2">
      <c r="A26"/>
      <c r="B26" s="15" t="s">
        <v>41</v>
      </c>
      <c r="C26" s="43"/>
      <c r="D26" s="43"/>
      <c r="E26" s="43"/>
      <c r="F26" s="43"/>
      <c r="G26" s="43"/>
      <c r="H26" s="43"/>
    </row>
    <row r="27" spans="1:8" ht="15.75" x14ac:dyDescent="0.25">
      <c r="A27"/>
      <c r="B27" s="15" t="s">
        <v>183</v>
      </c>
      <c r="C27" s="17"/>
    </row>
  </sheetData>
  <mergeCells count="10">
    <mergeCell ref="A10:A11"/>
    <mergeCell ref="B10:B11"/>
    <mergeCell ref="H10:H11"/>
    <mergeCell ref="E10:F10"/>
    <mergeCell ref="B8:H8"/>
    <mergeCell ref="A1:H1"/>
    <mergeCell ref="A5:H5"/>
    <mergeCell ref="B3:H3"/>
    <mergeCell ref="B4:H4"/>
    <mergeCell ref="B6:H6"/>
  </mergeCells>
  <printOptions horizontalCentered="1"/>
  <pageMargins left="0.70866141732283472" right="0.70866141732283472" top="0.74803149606299213" bottom="0.74803149606299213" header="0.31496062992125984" footer="0.31496062992125984"/>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E9" zoomScale="75" zoomScaleNormal="55" zoomScaleSheetLayoutView="75" zoomScalePageLayoutView="40" workbookViewId="0">
      <selection activeCell="K12" sqref="K12"/>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8" t="s">
        <v>52</v>
      </c>
      <c r="C1" s="298"/>
      <c r="D1" s="298"/>
      <c r="E1" s="298"/>
      <c r="F1" s="298"/>
      <c r="G1" s="298"/>
      <c r="H1" s="298"/>
      <c r="I1" s="298"/>
      <c r="J1" s="298"/>
      <c r="K1" s="298"/>
      <c r="L1" s="298"/>
      <c r="M1" s="298"/>
      <c r="N1" s="298"/>
      <c r="O1" s="298"/>
      <c r="P1" s="298"/>
      <c r="Q1" s="298"/>
      <c r="R1" s="298"/>
    </row>
    <row r="2" spans="2:18" ht="59.25" customHeight="1" x14ac:dyDescent="0.2">
      <c r="B2" s="298" t="s">
        <v>53</v>
      </c>
      <c r="C2" s="298"/>
      <c r="D2" s="298"/>
      <c r="E2" s="298"/>
      <c r="F2" s="298"/>
      <c r="G2" s="298"/>
      <c r="H2" s="298"/>
      <c r="I2" s="298"/>
      <c r="J2" s="298"/>
      <c r="K2" s="298"/>
      <c r="L2" s="298"/>
      <c r="M2" s="298"/>
      <c r="N2" s="298"/>
      <c r="O2" s="298"/>
      <c r="P2" s="298"/>
      <c r="Q2" s="298"/>
      <c r="R2" s="298"/>
    </row>
    <row r="3" spans="2:18" ht="18.75" x14ac:dyDescent="0.2">
      <c r="B3" s="299" t="s">
        <v>11</v>
      </c>
      <c r="C3" s="299"/>
      <c r="D3" s="299"/>
      <c r="E3" s="299"/>
      <c r="F3" s="299"/>
      <c r="G3" s="299"/>
      <c r="H3" s="299"/>
      <c r="I3" s="299"/>
      <c r="J3" s="299"/>
      <c r="K3" s="299"/>
      <c r="L3" s="299"/>
      <c r="M3" s="299"/>
      <c r="N3" s="299"/>
      <c r="O3" s="299"/>
      <c r="P3" s="299"/>
      <c r="Q3" s="299"/>
      <c r="R3" s="299"/>
    </row>
    <row r="4" spans="2:18" ht="18.75" x14ac:dyDescent="0.2">
      <c r="B4" s="299" t="s">
        <v>0</v>
      </c>
      <c r="C4" s="299"/>
      <c r="D4" s="299"/>
      <c r="E4" s="299"/>
      <c r="F4" s="299"/>
      <c r="G4" s="299"/>
      <c r="H4" s="299"/>
      <c r="I4" s="299"/>
      <c r="J4" s="299"/>
      <c r="K4" s="299"/>
      <c r="L4" s="299"/>
      <c r="M4" s="299"/>
      <c r="N4" s="299"/>
      <c r="O4" s="299"/>
      <c r="P4" s="299"/>
      <c r="Q4" s="299"/>
      <c r="R4" s="299"/>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71</v>
      </c>
      <c r="E6" s="59"/>
      <c r="F6" s="59"/>
      <c r="G6" s="59"/>
      <c r="H6" s="59"/>
      <c r="I6" s="31"/>
      <c r="J6" s="31"/>
      <c r="K6" s="31"/>
      <c r="L6" s="31"/>
      <c r="M6" s="31"/>
      <c r="N6" s="31"/>
      <c r="O6" s="31"/>
      <c r="P6" s="31"/>
    </row>
    <row r="7" spans="2:18" ht="18.75" x14ac:dyDescent="0.2">
      <c r="B7" s="297"/>
      <c r="C7" s="297"/>
      <c r="D7" s="297"/>
      <c r="E7" s="31"/>
      <c r="F7" s="31"/>
      <c r="G7" s="31"/>
      <c r="H7" s="31"/>
      <c r="I7" s="31"/>
      <c r="J7" s="31"/>
      <c r="K7" s="31"/>
      <c r="L7" s="301" t="s">
        <v>36</v>
      </c>
      <c r="M7" s="302"/>
      <c r="N7" s="302"/>
      <c r="O7" s="302"/>
      <c r="P7" s="303"/>
      <c r="Q7" s="300">
        <v>384914198</v>
      </c>
      <c r="R7" s="300"/>
    </row>
    <row r="8" spans="2:18" ht="15.75" x14ac:dyDescent="0.25">
      <c r="B8" s="56"/>
      <c r="C8" s="56"/>
      <c r="D8" s="56"/>
      <c r="E8" s="56"/>
      <c r="F8" s="56"/>
      <c r="G8" s="56"/>
      <c r="H8" s="56"/>
      <c r="I8" s="56"/>
      <c r="J8" s="56"/>
      <c r="K8" s="56"/>
      <c r="L8" s="304"/>
      <c r="M8" s="305"/>
      <c r="N8" s="305"/>
      <c r="O8" s="305"/>
      <c r="P8" s="306"/>
      <c r="Q8" s="35">
        <f>ROUND(Q7/R5,0)</f>
        <v>653</v>
      </c>
      <c r="R8" s="34" t="s">
        <v>37</v>
      </c>
    </row>
    <row r="9" spans="2:18" ht="15.75" x14ac:dyDescent="0.2">
      <c r="B9" s="289" t="s">
        <v>35</v>
      </c>
      <c r="C9" s="289"/>
      <c r="D9" s="289"/>
      <c r="E9" s="289"/>
      <c r="F9" s="289"/>
      <c r="G9" s="289"/>
      <c r="H9" s="289"/>
      <c r="I9" s="289"/>
      <c r="J9" s="289"/>
      <c r="K9" s="289"/>
      <c r="L9" s="289"/>
      <c r="M9" s="289"/>
      <c r="N9" s="289"/>
      <c r="O9" s="289"/>
      <c r="P9" s="289"/>
      <c r="Q9" s="289"/>
      <c r="R9" s="289"/>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153</v>
      </c>
      <c r="H11" s="30" t="s">
        <v>4</v>
      </c>
      <c r="I11" s="30" t="s">
        <v>5</v>
      </c>
      <c r="J11" s="30" t="s">
        <v>6</v>
      </c>
      <c r="K11" s="30" t="s">
        <v>44</v>
      </c>
      <c r="L11" s="30" t="s">
        <v>7</v>
      </c>
      <c r="M11" s="30" t="s">
        <v>152</v>
      </c>
      <c r="N11" s="30" t="s">
        <v>156</v>
      </c>
      <c r="O11" s="30" t="s">
        <v>20</v>
      </c>
      <c r="P11" s="30" t="s">
        <v>21</v>
      </c>
      <c r="Q11" s="30" t="s">
        <v>149</v>
      </c>
      <c r="R11" s="136" t="s">
        <v>38</v>
      </c>
    </row>
    <row r="12" spans="2:18" s="81" customFormat="1" ht="91.5" customHeight="1" x14ac:dyDescent="0.2">
      <c r="B12" s="62">
        <v>1</v>
      </c>
      <c r="C12" s="52" t="s">
        <v>71</v>
      </c>
      <c r="D12" s="117" t="s">
        <v>157</v>
      </c>
      <c r="E12" s="89">
        <v>37733</v>
      </c>
      <c r="F12" s="89">
        <v>37970</v>
      </c>
      <c r="G12" s="90">
        <v>0.47</v>
      </c>
      <c r="H12" s="90" t="s">
        <v>10</v>
      </c>
      <c r="I12" s="52" t="s">
        <v>72</v>
      </c>
      <c r="J12" s="91">
        <v>1811654773</v>
      </c>
      <c r="K12" s="91">
        <f>+J12*N12</f>
        <v>1811654773</v>
      </c>
      <c r="L12" s="92">
        <f>+K12/332000</f>
        <v>5456.7914849397594</v>
      </c>
      <c r="M12" s="92" t="str">
        <f>IF((F12-E12)&gt;120,"CUMPLE")</f>
        <v>CUMPLE</v>
      </c>
      <c r="N12" s="92" t="str">
        <f>IF(H12&gt;=30%,"100%")</f>
        <v>100%</v>
      </c>
      <c r="O12" s="79" t="s">
        <v>151</v>
      </c>
      <c r="P12" s="308" t="s">
        <v>150</v>
      </c>
      <c r="Q12" s="187">
        <f>+L12</f>
        <v>5456.7914849397594</v>
      </c>
      <c r="R12" s="199" t="s">
        <v>159</v>
      </c>
    </row>
    <row r="13" spans="2:18" s="81" customFormat="1" ht="66.75" customHeight="1" x14ac:dyDescent="0.2">
      <c r="B13" s="63">
        <v>2</v>
      </c>
      <c r="C13" s="53" t="s">
        <v>71</v>
      </c>
      <c r="D13" s="77" t="s">
        <v>158</v>
      </c>
      <c r="E13" s="94">
        <v>37735</v>
      </c>
      <c r="F13" s="94">
        <v>37970</v>
      </c>
      <c r="G13" s="95">
        <v>0.47</v>
      </c>
      <c r="H13" s="96" t="s">
        <v>10</v>
      </c>
      <c r="I13" s="53" t="s">
        <v>72</v>
      </c>
      <c r="J13" s="97">
        <v>1309834208</v>
      </c>
      <c r="K13" s="97">
        <f>+J13*N13</f>
        <v>1309834208</v>
      </c>
      <c r="L13" s="98">
        <f>+K13/332000</f>
        <v>3945.2837590361446</v>
      </c>
      <c r="M13" s="98" t="str">
        <f>IF((F13-E13)&gt;120,"CUMPLE")</f>
        <v>CUMPLE</v>
      </c>
      <c r="N13" s="98" t="str">
        <f>IF(H13&gt;=30%,"100%")</f>
        <v>100%</v>
      </c>
      <c r="O13" s="83"/>
      <c r="P13" s="293"/>
      <c r="Q13" s="85"/>
      <c r="R13" s="137" t="s">
        <v>160</v>
      </c>
    </row>
    <row r="14" spans="2:18" s="128" customFormat="1" x14ac:dyDescent="0.2">
      <c r="B14" s="63"/>
      <c r="C14" s="53"/>
      <c r="D14" s="77"/>
      <c r="E14" s="94"/>
      <c r="F14" s="94"/>
      <c r="G14" s="95"/>
      <c r="H14" s="96"/>
      <c r="I14" s="53"/>
      <c r="J14" s="97"/>
      <c r="K14" s="97"/>
      <c r="L14" s="98"/>
      <c r="M14" s="98"/>
      <c r="N14" s="98"/>
      <c r="O14" s="98"/>
      <c r="P14" s="133"/>
      <c r="Q14" s="134"/>
      <c r="R14" s="129"/>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195</v>
      </c>
      <c r="C17" s="122"/>
      <c r="D17" s="122"/>
      <c r="E17" s="122"/>
      <c r="F17" s="122"/>
      <c r="G17" s="122"/>
      <c r="H17" s="26"/>
      <c r="I17" s="26"/>
    </row>
    <row r="18" spans="2:17" ht="45.75" customHeight="1" thickBot="1" x14ac:dyDescent="0.25">
      <c r="B18" s="287" t="s">
        <v>194</v>
      </c>
      <c r="C18" s="292"/>
      <c r="D18" s="292"/>
      <c r="E18" s="292"/>
      <c r="F18" s="292"/>
      <c r="G18" s="292"/>
      <c r="H18" s="292"/>
      <c r="I18" s="292"/>
    </row>
    <row r="19" spans="2:17" s="3" customFormat="1" ht="21.75" customHeight="1" x14ac:dyDescent="0.2">
      <c r="B19" s="122" t="s">
        <v>54</v>
      </c>
      <c r="C19" s="122"/>
      <c r="D19" s="122"/>
      <c r="E19" s="122"/>
      <c r="F19" s="122"/>
      <c r="G19" s="122"/>
      <c r="H19" s="122"/>
      <c r="I19" s="123"/>
      <c r="J19" s="290" t="s">
        <v>33</v>
      </c>
      <c r="K19" s="291"/>
      <c r="L19" s="276">
        <f>SUM(K12:K15)</f>
        <v>3121488981</v>
      </c>
      <c r="M19" s="276"/>
      <c r="N19" s="276"/>
      <c r="O19" s="276"/>
      <c r="P19" s="277"/>
      <c r="Q19" s="37">
        <f>SUM(L12:L15)</f>
        <v>9402.0752439759035</v>
      </c>
    </row>
    <row r="20" spans="2:17" ht="24.75" customHeight="1" x14ac:dyDescent="0.2">
      <c r="B20" s="287" t="s">
        <v>155</v>
      </c>
      <c r="C20" s="287"/>
      <c r="D20" s="287"/>
      <c r="E20" s="287"/>
      <c r="F20" s="287"/>
      <c r="G20" s="287"/>
      <c r="H20" s="287"/>
      <c r="I20" s="288"/>
      <c r="J20" s="278" t="s">
        <v>12</v>
      </c>
      <c r="K20" s="279"/>
      <c r="L20" s="279"/>
      <c r="M20" s="279"/>
      <c r="N20" s="279"/>
      <c r="O20" s="279"/>
      <c r="P20" s="279"/>
      <c r="Q20" s="280"/>
    </row>
    <row r="21" spans="2:17" ht="21.75" customHeight="1" x14ac:dyDescent="0.2">
      <c r="B21" s="122"/>
      <c r="C21" s="122"/>
      <c r="D21" s="122"/>
      <c r="E21" s="122"/>
      <c r="F21" s="122"/>
      <c r="G21" s="122"/>
      <c r="J21" s="38" t="s">
        <v>20</v>
      </c>
      <c r="K21" s="54"/>
      <c r="L21" s="281" t="s">
        <v>8</v>
      </c>
      <c r="M21" s="282"/>
      <c r="N21" s="282"/>
      <c r="O21" s="282"/>
      <c r="P21" s="282"/>
      <c r="Q21" s="283"/>
    </row>
    <row r="22" spans="2:17" ht="21.75" customHeight="1" x14ac:dyDescent="0.2">
      <c r="B22" s="108"/>
      <c r="C22" s="111"/>
      <c r="D22" s="111"/>
      <c r="E22" s="111"/>
      <c r="F22" s="111"/>
      <c r="G22" s="111"/>
      <c r="J22" s="38" t="s">
        <v>21</v>
      </c>
      <c r="K22" s="181" t="s">
        <v>184</v>
      </c>
      <c r="L22" s="281" t="s">
        <v>185</v>
      </c>
      <c r="M22" s="282"/>
      <c r="N22" s="282"/>
      <c r="O22" s="282"/>
      <c r="P22" s="282"/>
      <c r="Q22" s="283"/>
    </row>
    <row r="23" spans="2:17" ht="21.75" customHeight="1" thickBot="1" x14ac:dyDescent="0.25">
      <c r="B23" s="108"/>
      <c r="C23" s="111"/>
      <c r="D23" s="111"/>
      <c r="E23" s="111"/>
      <c r="F23" s="111"/>
      <c r="G23" s="111"/>
      <c r="J23" s="39" t="s">
        <v>149</v>
      </c>
      <c r="K23" s="55"/>
      <c r="L23" s="284" t="s">
        <v>8</v>
      </c>
      <c r="M23" s="285"/>
      <c r="N23" s="285"/>
      <c r="O23" s="285"/>
      <c r="P23" s="285"/>
      <c r="Q23" s="286"/>
    </row>
    <row r="24" spans="2:17" x14ac:dyDescent="0.2">
      <c r="B24" t="s">
        <v>198</v>
      </c>
    </row>
    <row r="25" spans="2:17" x14ac:dyDescent="0.2">
      <c r="C25" s="15" t="s">
        <v>45</v>
      </c>
    </row>
    <row r="26" spans="2:17" x14ac:dyDescent="0.2">
      <c r="C26" t="s">
        <v>41</v>
      </c>
      <c r="D26" s="44"/>
      <c r="E26" s="44">
        <f>D26/589500</f>
        <v>0</v>
      </c>
    </row>
    <row r="27" spans="2:17" x14ac:dyDescent="0.2">
      <c r="C27" t="s">
        <v>197</v>
      </c>
      <c r="D27" s="44"/>
      <c r="E27" s="44">
        <f>D27/589500</f>
        <v>0</v>
      </c>
    </row>
  </sheetData>
  <mergeCells count="17">
    <mergeCell ref="L21:Q21"/>
    <mergeCell ref="L22:Q22"/>
    <mergeCell ref="L23:Q23"/>
    <mergeCell ref="P12:P13"/>
    <mergeCell ref="B9:R9"/>
    <mergeCell ref="B18:I18"/>
    <mergeCell ref="J19:K19"/>
    <mergeCell ref="L19:P19"/>
    <mergeCell ref="B20:I20"/>
    <mergeCell ref="J20:Q20"/>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E11" zoomScale="75" zoomScaleNormal="55" zoomScaleSheetLayoutView="75" zoomScalePageLayoutView="40" workbookViewId="0">
      <selection activeCell="S12" sqref="S12"/>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8" t="s">
        <v>52</v>
      </c>
      <c r="C1" s="298"/>
      <c r="D1" s="298"/>
      <c r="E1" s="298"/>
      <c r="F1" s="298"/>
      <c r="G1" s="298"/>
      <c r="H1" s="298"/>
      <c r="I1" s="298"/>
      <c r="J1" s="298"/>
      <c r="K1" s="298"/>
      <c r="L1" s="298"/>
      <c r="M1" s="298"/>
      <c r="N1" s="298"/>
      <c r="O1" s="298"/>
      <c r="P1" s="298"/>
      <c r="Q1" s="298"/>
      <c r="R1" s="298"/>
    </row>
    <row r="2" spans="2:18" ht="59.25" customHeight="1" x14ac:dyDescent="0.2">
      <c r="B2" s="298" t="s">
        <v>53</v>
      </c>
      <c r="C2" s="298"/>
      <c r="D2" s="298"/>
      <c r="E2" s="298"/>
      <c r="F2" s="298"/>
      <c r="G2" s="298"/>
      <c r="H2" s="298"/>
      <c r="I2" s="298"/>
      <c r="J2" s="298"/>
      <c r="K2" s="298"/>
      <c r="L2" s="298"/>
      <c r="M2" s="298"/>
      <c r="N2" s="298"/>
      <c r="O2" s="298"/>
      <c r="P2" s="298"/>
      <c r="Q2" s="298"/>
      <c r="R2" s="298"/>
    </row>
    <row r="3" spans="2:18" ht="18.75" x14ac:dyDescent="0.2">
      <c r="B3" s="299" t="s">
        <v>11</v>
      </c>
      <c r="C3" s="299"/>
      <c r="D3" s="299"/>
      <c r="E3" s="299"/>
      <c r="F3" s="299"/>
      <c r="G3" s="299"/>
      <c r="H3" s="299"/>
      <c r="I3" s="299"/>
      <c r="J3" s="299"/>
      <c r="K3" s="299"/>
      <c r="L3" s="299"/>
      <c r="M3" s="299"/>
      <c r="N3" s="299"/>
      <c r="O3" s="299"/>
      <c r="P3" s="299"/>
      <c r="Q3" s="299"/>
      <c r="R3" s="299"/>
    </row>
    <row r="4" spans="2:18" ht="18.75" x14ac:dyDescent="0.2">
      <c r="B4" s="299" t="s">
        <v>0</v>
      </c>
      <c r="C4" s="299"/>
      <c r="D4" s="299"/>
      <c r="E4" s="299"/>
      <c r="F4" s="299"/>
      <c r="G4" s="299"/>
      <c r="H4" s="299"/>
      <c r="I4" s="299"/>
      <c r="J4" s="299"/>
      <c r="K4" s="299"/>
      <c r="L4" s="299"/>
      <c r="M4" s="299"/>
      <c r="N4" s="299"/>
      <c r="O4" s="299"/>
      <c r="P4" s="299"/>
      <c r="Q4" s="299"/>
      <c r="R4" s="299"/>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76</v>
      </c>
      <c r="E6" s="59"/>
      <c r="F6" s="59"/>
      <c r="G6" s="59"/>
      <c r="H6" s="59"/>
      <c r="I6" s="31"/>
      <c r="J6" s="31"/>
      <c r="K6" s="31"/>
      <c r="L6" s="31"/>
      <c r="M6" s="31"/>
      <c r="N6" s="31"/>
      <c r="O6" s="31"/>
      <c r="P6" s="31"/>
    </row>
    <row r="7" spans="2:18" ht="18.75" x14ac:dyDescent="0.2">
      <c r="B7" s="297"/>
      <c r="C7" s="297"/>
      <c r="D7" s="297"/>
      <c r="E7" s="31"/>
      <c r="F7" s="31"/>
      <c r="G7" s="31"/>
      <c r="H7" s="31"/>
      <c r="I7" s="31"/>
      <c r="J7" s="31"/>
      <c r="K7" s="31"/>
      <c r="L7" s="301" t="s">
        <v>36</v>
      </c>
      <c r="M7" s="302"/>
      <c r="N7" s="302"/>
      <c r="O7" s="302"/>
      <c r="P7" s="303"/>
      <c r="Q7" s="300">
        <v>384914198</v>
      </c>
      <c r="R7" s="300"/>
    </row>
    <row r="8" spans="2:18" ht="15.75" x14ac:dyDescent="0.25">
      <c r="B8" s="56"/>
      <c r="C8" s="56"/>
      <c r="D8" s="56"/>
      <c r="E8" s="56"/>
      <c r="F8" s="56"/>
      <c r="G8" s="56"/>
      <c r="H8" s="56"/>
      <c r="I8" s="56"/>
      <c r="J8" s="56"/>
      <c r="K8" s="56"/>
      <c r="L8" s="304"/>
      <c r="M8" s="305"/>
      <c r="N8" s="305"/>
      <c r="O8" s="305"/>
      <c r="P8" s="306"/>
      <c r="Q8" s="35">
        <f>ROUND(Q7/R5,0)</f>
        <v>653</v>
      </c>
      <c r="R8" s="34" t="s">
        <v>37</v>
      </c>
    </row>
    <row r="9" spans="2:18" ht="15.75" x14ac:dyDescent="0.2">
      <c r="B9" s="289" t="s">
        <v>35</v>
      </c>
      <c r="C9" s="289"/>
      <c r="D9" s="289"/>
      <c r="E9" s="289"/>
      <c r="F9" s="289"/>
      <c r="G9" s="289"/>
      <c r="H9" s="289"/>
      <c r="I9" s="289"/>
      <c r="J9" s="289"/>
      <c r="K9" s="289"/>
      <c r="L9" s="289"/>
      <c r="M9" s="289"/>
      <c r="N9" s="289"/>
      <c r="O9" s="289"/>
      <c r="P9" s="289"/>
      <c r="Q9" s="289"/>
      <c r="R9" s="289"/>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153</v>
      </c>
      <c r="H11" s="30" t="s">
        <v>4</v>
      </c>
      <c r="I11" s="30" t="s">
        <v>5</v>
      </c>
      <c r="J11" s="30" t="s">
        <v>6</v>
      </c>
      <c r="K11" s="30" t="s">
        <v>44</v>
      </c>
      <c r="L11" s="30" t="s">
        <v>7</v>
      </c>
      <c r="M11" s="30" t="s">
        <v>152</v>
      </c>
      <c r="N11" s="30" t="s">
        <v>156</v>
      </c>
      <c r="O11" s="30" t="s">
        <v>20</v>
      </c>
      <c r="P11" s="30" t="s">
        <v>21</v>
      </c>
      <c r="Q11" s="30" t="s">
        <v>149</v>
      </c>
      <c r="R11" s="136" t="s">
        <v>38</v>
      </c>
    </row>
    <row r="12" spans="2:18" s="81" customFormat="1" ht="114" customHeight="1" x14ac:dyDescent="0.2">
      <c r="B12" s="62">
        <v>1</v>
      </c>
      <c r="C12" s="52" t="s">
        <v>76</v>
      </c>
      <c r="D12" s="113" t="s">
        <v>77</v>
      </c>
      <c r="E12" s="113">
        <v>38712</v>
      </c>
      <c r="F12" s="113">
        <v>38964</v>
      </c>
      <c r="G12" s="90">
        <v>0.3</v>
      </c>
      <c r="H12" s="90" t="s">
        <v>10</v>
      </c>
      <c r="I12" s="114" t="s">
        <v>79</v>
      </c>
      <c r="J12" s="115">
        <v>430160248</v>
      </c>
      <c r="K12" s="91">
        <f>+J12*N12</f>
        <v>430160248</v>
      </c>
      <c r="L12" s="92">
        <f>K12/381500</f>
        <v>1127.5497981651376</v>
      </c>
      <c r="M12" s="92" t="str">
        <f>IF((F12-E12)&gt;120,"CUMPLE")</f>
        <v>CUMPLE</v>
      </c>
      <c r="N12" s="92" t="str">
        <f>IF(G12&gt;=30%,"100%")</f>
        <v>100%</v>
      </c>
      <c r="O12" s="93" t="s">
        <v>151</v>
      </c>
      <c r="P12" s="308" t="s">
        <v>150</v>
      </c>
      <c r="Q12" s="79">
        <f>+L12</f>
        <v>1127.5497981651376</v>
      </c>
      <c r="R12" s="80"/>
    </row>
    <row r="13" spans="2:18" s="81" customFormat="1" ht="120" customHeight="1" x14ac:dyDescent="0.2">
      <c r="B13" s="63">
        <v>2</v>
      </c>
      <c r="C13" s="53" t="s">
        <v>76</v>
      </c>
      <c r="D13" s="71" t="s">
        <v>78</v>
      </c>
      <c r="E13" s="71">
        <v>39148</v>
      </c>
      <c r="F13" s="71">
        <v>40072</v>
      </c>
      <c r="G13" s="95">
        <v>0.02</v>
      </c>
      <c r="H13" s="96" t="s">
        <v>10</v>
      </c>
      <c r="I13" s="72" t="s">
        <v>64</v>
      </c>
      <c r="J13" s="116">
        <v>822497830</v>
      </c>
      <c r="K13" s="97">
        <f>+J13*N13</f>
        <v>16449956.6</v>
      </c>
      <c r="L13" s="98">
        <f>K13/433700</f>
        <v>37.929344247175464</v>
      </c>
      <c r="M13" s="98" t="str">
        <f>IF((F13-E13)&gt;120,"CUMPLE")</f>
        <v>CUMPLE</v>
      </c>
      <c r="N13" s="125">
        <f>IF(G13&gt;=30%,"100%",G13)</f>
        <v>0.02</v>
      </c>
      <c r="O13" s="99"/>
      <c r="P13" s="293"/>
      <c r="Q13" s="83"/>
      <c r="R13" s="138"/>
    </row>
    <row r="14" spans="2:18" s="128" customFormat="1" x14ac:dyDescent="0.2">
      <c r="B14" s="63"/>
      <c r="C14" s="53"/>
      <c r="D14" s="77"/>
      <c r="E14" s="94"/>
      <c r="F14" s="94"/>
      <c r="G14" s="95"/>
      <c r="H14" s="96"/>
      <c r="I14" s="53"/>
      <c r="J14" s="97"/>
      <c r="K14" s="97"/>
      <c r="L14" s="98"/>
      <c r="M14" s="98"/>
      <c r="N14" s="98"/>
      <c r="O14" s="98"/>
      <c r="P14" s="133"/>
      <c r="Q14" s="134"/>
      <c r="R14" s="129"/>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195</v>
      </c>
      <c r="C17" s="122"/>
      <c r="D17" s="122"/>
      <c r="E17" s="122"/>
      <c r="F17" s="122"/>
      <c r="G17" s="122"/>
      <c r="H17" s="26"/>
      <c r="I17" s="26"/>
    </row>
    <row r="18" spans="2:17" ht="45.75" customHeight="1" thickBot="1" x14ac:dyDescent="0.25">
      <c r="B18" s="287" t="s">
        <v>194</v>
      </c>
      <c r="C18" s="292"/>
      <c r="D18" s="292"/>
      <c r="E18" s="292"/>
      <c r="F18" s="292"/>
      <c r="G18" s="292"/>
      <c r="H18" s="292"/>
      <c r="I18" s="292"/>
    </row>
    <row r="19" spans="2:17" s="3" customFormat="1" ht="21.75" customHeight="1" x14ac:dyDescent="0.2">
      <c r="B19" s="122" t="s">
        <v>54</v>
      </c>
      <c r="C19" s="122"/>
      <c r="D19" s="122"/>
      <c r="E19" s="122"/>
      <c r="F19" s="122"/>
      <c r="G19" s="122"/>
      <c r="H19" s="122"/>
      <c r="I19" s="123"/>
      <c r="J19" s="290" t="s">
        <v>33</v>
      </c>
      <c r="K19" s="291"/>
      <c r="L19" s="276">
        <f>SUM(K12:K15)</f>
        <v>446610204.60000002</v>
      </c>
      <c r="M19" s="276"/>
      <c r="N19" s="276"/>
      <c r="O19" s="276"/>
      <c r="P19" s="277"/>
      <c r="Q19" s="37">
        <f>SUM(L12:L15)</f>
        <v>1165.4791424123132</v>
      </c>
    </row>
    <row r="20" spans="2:17" ht="24.75" customHeight="1" x14ac:dyDescent="0.2">
      <c r="B20" s="287" t="s">
        <v>155</v>
      </c>
      <c r="C20" s="287"/>
      <c r="D20" s="287"/>
      <c r="E20" s="287"/>
      <c r="F20" s="287"/>
      <c r="G20" s="287"/>
      <c r="H20" s="287"/>
      <c r="I20" s="288"/>
      <c r="J20" s="278" t="s">
        <v>12</v>
      </c>
      <c r="K20" s="279"/>
      <c r="L20" s="279"/>
      <c r="M20" s="279"/>
      <c r="N20" s="279"/>
      <c r="O20" s="279"/>
      <c r="P20" s="279"/>
      <c r="Q20" s="280"/>
    </row>
    <row r="21" spans="2:17" ht="21.75" customHeight="1" x14ac:dyDescent="0.2">
      <c r="B21" s="122"/>
      <c r="C21" s="122"/>
      <c r="D21" s="122"/>
      <c r="E21" s="122"/>
      <c r="F21" s="122"/>
      <c r="G21" s="122"/>
      <c r="J21" s="38" t="s">
        <v>20</v>
      </c>
      <c r="K21" s="54"/>
      <c r="L21" s="281" t="s">
        <v>8</v>
      </c>
      <c r="M21" s="282"/>
      <c r="N21" s="282"/>
      <c r="O21" s="282"/>
      <c r="P21" s="282"/>
      <c r="Q21" s="283"/>
    </row>
    <row r="22" spans="2:17" ht="21.75" customHeight="1" x14ac:dyDescent="0.2">
      <c r="B22" s="108"/>
      <c r="C22" s="111"/>
      <c r="D22" s="111"/>
      <c r="E22" s="111"/>
      <c r="F22" s="111"/>
      <c r="G22" s="111"/>
      <c r="J22" s="38" t="s">
        <v>21</v>
      </c>
      <c r="K22" s="181" t="s">
        <v>184</v>
      </c>
      <c r="L22" s="281" t="s">
        <v>185</v>
      </c>
      <c r="M22" s="282"/>
      <c r="N22" s="282"/>
      <c r="O22" s="282"/>
      <c r="P22" s="282"/>
      <c r="Q22" s="283"/>
    </row>
    <row r="23" spans="2:17" ht="21.75" customHeight="1" thickBot="1" x14ac:dyDescent="0.25">
      <c r="B23" s="108"/>
      <c r="C23" s="111"/>
      <c r="D23" s="111"/>
      <c r="E23" s="111"/>
      <c r="F23" s="111"/>
      <c r="G23" s="111"/>
      <c r="J23" s="39" t="s">
        <v>149</v>
      </c>
      <c r="K23" s="55"/>
      <c r="L23" s="284" t="s">
        <v>8</v>
      </c>
      <c r="M23" s="285"/>
      <c r="N23" s="285"/>
      <c r="O23" s="285"/>
      <c r="P23" s="285"/>
      <c r="Q23" s="286"/>
    </row>
    <row r="24" spans="2:17" x14ac:dyDescent="0.2">
      <c r="B24" t="s">
        <v>198</v>
      </c>
    </row>
    <row r="25" spans="2:17" x14ac:dyDescent="0.2">
      <c r="C25" s="15" t="s">
        <v>45</v>
      </c>
    </row>
    <row r="26" spans="2:17" x14ac:dyDescent="0.2">
      <c r="C26" t="s">
        <v>41</v>
      </c>
      <c r="D26" s="44"/>
      <c r="E26" s="44">
        <f>D26/589500</f>
        <v>0</v>
      </c>
    </row>
    <row r="27" spans="2:17" x14ac:dyDescent="0.2">
      <c r="C27" t="s">
        <v>197</v>
      </c>
      <c r="D27" s="44"/>
      <c r="E27" s="44">
        <f>D27/589500</f>
        <v>0</v>
      </c>
    </row>
  </sheetData>
  <mergeCells count="17">
    <mergeCell ref="L21:Q21"/>
    <mergeCell ref="L22:Q22"/>
    <mergeCell ref="L23:Q23"/>
    <mergeCell ref="B9:R9"/>
    <mergeCell ref="P12:P13"/>
    <mergeCell ref="B18:I18"/>
    <mergeCell ref="J19:K19"/>
    <mergeCell ref="L19:P19"/>
    <mergeCell ref="B20:I20"/>
    <mergeCell ref="J20:Q20"/>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A10" zoomScale="75" zoomScaleNormal="55" zoomScaleSheetLayoutView="75" zoomScalePageLayoutView="40" workbookViewId="0">
      <selection activeCell="H13" sqref="H13"/>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8" t="s">
        <v>52</v>
      </c>
      <c r="C1" s="298"/>
      <c r="D1" s="298"/>
      <c r="E1" s="298"/>
      <c r="F1" s="298"/>
      <c r="G1" s="298"/>
      <c r="H1" s="298"/>
      <c r="I1" s="298"/>
      <c r="J1" s="298"/>
      <c r="K1" s="298"/>
      <c r="L1" s="298"/>
      <c r="M1" s="298"/>
      <c r="N1" s="298"/>
      <c r="O1" s="298"/>
      <c r="P1" s="298"/>
      <c r="Q1" s="298"/>
      <c r="R1" s="298"/>
    </row>
    <row r="2" spans="2:18" ht="59.25" customHeight="1" x14ac:dyDescent="0.2">
      <c r="B2" s="298" t="s">
        <v>53</v>
      </c>
      <c r="C2" s="298"/>
      <c r="D2" s="298"/>
      <c r="E2" s="298"/>
      <c r="F2" s="298"/>
      <c r="G2" s="298"/>
      <c r="H2" s="298"/>
      <c r="I2" s="298"/>
      <c r="J2" s="298"/>
      <c r="K2" s="298"/>
      <c r="L2" s="298"/>
      <c r="M2" s="298"/>
      <c r="N2" s="298"/>
      <c r="O2" s="298"/>
      <c r="P2" s="298"/>
      <c r="Q2" s="298"/>
      <c r="R2" s="298"/>
    </row>
    <row r="3" spans="2:18" ht="18.75" x14ac:dyDescent="0.2">
      <c r="B3" s="299" t="s">
        <v>11</v>
      </c>
      <c r="C3" s="299"/>
      <c r="D3" s="299"/>
      <c r="E3" s="299"/>
      <c r="F3" s="299"/>
      <c r="G3" s="299"/>
      <c r="H3" s="299"/>
      <c r="I3" s="299"/>
      <c r="J3" s="299"/>
      <c r="K3" s="299"/>
      <c r="L3" s="299"/>
      <c r="M3" s="299"/>
      <c r="N3" s="299"/>
      <c r="O3" s="299"/>
      <c r="P3" s="299"/>
      <c r="Q3" s="299"/>
      <c r="R3" s="299"/>
    </row>
    <row r="4" spans="2:18" ht="18.75" x14ac:dyDescent="0.2">
      <c r="B4" s="299" t="s">
        <v>0</v>
      </c>
      <c r="C4" s="299"/>
      <c r="D4" s="299"/>
      <c r="E4" s="299"/>
      <c r="F4" s="299"/>
      <c r="G4" s="299"/>
      <c r="H4" s="299"/>
      <c r="I4" s="299"/>
      <c r="J4" s="299"/>
      <c r="K4" s="299"/>
      <c r="L4" s="299"/>
      <c r="M4" s="299"/>
      <c r="N4" s="299"/>
      <c r="O4" s="299"/>
      <c r="P4" s="299"/>
      <c r="Q4" s="299"/>
      <c r="R4" s="299"/>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85</v>
      </c>
      <c r="E6" s="59"/>
      <c r="F6" s="59"/>
      <c r="G6" s="59"/>
      <c r="H6" s="59"/>
      <c r="I6" s="31"/>
      <c r="J6" s="31"/>
      <c r="K6" s="31"/>
      <c r="L6" s="31"/>
      <c r="M6" s="31"/>
      <c r="N6" s="31"/>
      <c r="O6" s="31"/>
      <c r="P6" s="31"/>
    </row>
    <row r="7" spans="2:18" ht="18.75" x14ac:dyDescent="0.2">
      <c r="B7" s="297"/>
      <c r="C7" s="297"/>
      <c r="D7" s="297"/>
      <c r="E7" s="31"/>
      <c r="F7" s="31"/>
      <c r="G7" s="31"/>
      <c r="H7" s="31"/>
      <c r="I7" s="31"/>
      <c r="J7" s="31"/>
      <c r="K7" s="31"/>
      <c r="L7" s="301" t="s">
        <v>36</v>
      </c>
      <c r="M7" s="302"/>
      <c r="N7" s="302"/>
      <c r="O7" s="302"/>
      <c r="P7" s="303"/>
      <c r="Q7" s="300">
        <v>384914198</v>
      </c>
      <c r="R7" s="300"/>
    </row>
    <row r="8" spans="2:18" ht="15.75" x14ac:dyDescent="0.25">
      <c r="B8" s="56"/>
      <c r="C8" s="56"/>
      <c r="D8" s="56"/>
      <c r="E8" s="56"/>
      <c r="F8" s="56"/>
      <c r="G8" s="56"/>
      <c r="H8" s="56"/>
      <c r="I8" s="56"/>
      <c r="J8" s="56"/>
      <c r="K8" s="56"/>
      <c r="L8" s="304"/>
      <c r="M8" s="305"/>
      <c r="N8" s="305"/>
      <c r="O8" s="305"/>
      <c r="P8" s="306"/>
      <c r="Q8" s="35">
        <f>ROUND(Q7/R5,0)</f>
        <v>653</v>
      </c>
      <c r="R8" s="34" t="s">
        <v>37</v>
      </c>
    </row>
    <row r="9" spans="2:18" ht="15.75" x14ac:dyDescent="0.2">
      <c r="B9" s="289" t="s">
        <v>35</v>
      </c>
      <c r="C9" s="289"/>
      <c r="D9" s="289"/>
      <c r="E9" s="289"/>
      <c r="F9" s="289"/>
      <c r="G9" s="289"/>
      <c r="H9" s="289"/>
      <c r="I9" s="289"/>
      <c r="J9" s="289"/>
      <c r="K9" s="289"/>
      <c r="L9" s="289"/>
      <c r="M9" s="289"/>
      <c r="N9" s="289"/>
      <c r="O9" s="289"/>
      <c r="P9" s="289"/>
      <c r="Q9" s="289"/>
      <c r="R9" s="289"/>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153</v>
      </c>
      <c r="H11" s="30" t="s">
        <v>4</v>
      </c>
      <c r="I11" s="30" t="s">
        <v>5</v>
      </c>
      <c r="J11" s="30" t="s">
        <v>6</v>
      </c>
      <c r="K11" s="30" t="s">
        <v>44</v>
      </c>
      <c r="L11" s="30" t="s">
        <v>7</v>
      </c>
      <c r="M11" s="30" t="s">
        <v>152</v>
      </c>
      <c r="N11" s="30" t="s">
        <v>156</v>
      </c>
      <c r="O11" s="30" t="s">
        <v>20</v>
      </c>
      <c r="P11" s="30" t="s">
        <v>21</v>
      </c>
      <c r="Q11" s="30" t="s">
        <v>149</v>
      </c>
      <c r="R11" s="136" t="s">
        <v>38</v>
      </c>
    </row>
    <row r="12" spans="2:18" s="81" customFormat="1" ht="58.5" customHeight="1" x14ac:dyDescent="0.2">
      <c r="B12" s="62">
        <v>1</v>
      </c>
      <c r="C12" s="52" t="s">
        <v>85</v>
      </c>
      <c r="D12" s="117" t="s">
        <v>86</v>
      </c>
      <c r="E12" s="89">
        <v>41118</v>
      </c>
      <c r="F12" s="89">
        <v>41331</v>
      </c>
      <c r="G12" s="90">
        <v>1</v>
      </c>
      <c r="H12" s="90" t="s">
        <v>10</v>
      </c>
      <c r="I12" s="52" t="s">
        <v>88</v>
      </c>
      <c r="J12" s="91">
        <v>739243787</v>
      </c>
      <c r="K12" s="91">
        <f>+J12*N12</f>
        <v>739243787</v>
      </c>
      <c r="L12" s="92">
        <f>K12/566700</f>
        <v>1304.4711258161285</v>
      </c>
      <c r="M12" s="92" t="str">
        <f>IF((F12-E12)&gt;120,"CUMPLE")</f>
        <v>CUMPLE</v>
      </c>
      <c r="N12" s="92" t="str">
        <f>IF(G12&gt;=30%,"100%")</f>
        <v>100%</v>
      </c>
      <c r="O12" s="92" t="s">
        <v>151</v>
      </c>
      <c r="P12" s="294" t="s">
        <v>150</v>
      </c>
      <c r="Q12" s="308">
        <f>+L12+L13</f>
        <v>1724.0691142466974</v>
      </c>
      <c r="R12" s="126" t="s">
        <v>162</v>
      </c>
    </row>
    <row r="13" spans="2:18" s="81" customFormat="1" ht="105.75" customHeight="1" x14ac:dyDescent="0.2">
      <c r="B13" s="63">
        <v>2</v>
      </c>
      <c r="C13" s="53" t="s">
        <v>85</v>
      </c>
      <c r="D13" s="82" t="s">
        <v>87</v>
      </c>
      <c r="E13" s="94">
        <v>35606</v>
      </c>
      <c r="F13" s="94">
        <v>35728</v>
      </c>
      <c r="G13" s="95">
        <v>1</v>
      </c>
      <c r="H13" s="96" t="s">
        <v>10</v>
      </c>
      <c r="I13" s="53" t="s">
        <v>66</v>
      </c>
      <c r="J13" s="97">
        <v>72172952</v>
      </c>
      <c r="K13" s="97">
        <f>+J13*N13</f>
        <v>72172952</v>
      </c>
      <c r="L13" s="98">
        <f>K13/172005</f>
        <v>419.59798843056888</v>
      </c>
      <c r="M13" s="98" t="str">
        <f>IF((F13-E13)&gt;120,"CUMPLE")</f>
        <v>CUMPLE</v>
      </c>
      <c r="N13" s="98" t="str">
        <f>IF(G13&gt;=30%,"100%")</f>
        <v>100%</v>
      </c>
      <c r="O13" s="98" t="s">
        <v>151</v>
      </c>
      <c r="P13" s="295"/>
      <c r="Q13" s="293"/>
      <c r="R13" s="139" t="s">
        <v>163</v>
      </c>
    </row>
    <row r="14" spans="2:18" s="128" customFormat="1" x14ac:dyDescent="0.2">
      <c r="B14" s="63"/>
      <c r="C14" s="53"/>
      <c r="D14" s="77"/>
      <c r="E14" s="94"/>
      <c r="F14" s="94"/>
      <c r="G14" s="95"/>
      <c r="H14" s="96"/>
      <c r="I14" s="53"/>
      <c r="J14" s="97"/>
      <c r="K14" s="97"/>
      <c r="L14" s="98"/>
      <c r="M14" s="98"/>
      <c r="N14" s="98"/>
      <c r="O14" s="98"/>
      <c r="P14" s="133"/>
      <c r="Q14" s="134"/>
      <c r="R14" s="129"/>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195</v>
      </c>
      <c r="C17" s="122"/>
      <c r="D17" s="122"/>
      <c r="E17" s="122"/>
      <c r="F17" s="122"/>
      <c r="G17" s="122"/>
      <c r="H17" s="26"/>
      <c r="I17" s="26"/>
    </row>
    <row r="18" spans="2:17" ht="45.75" customHeight="1" thickBot="1" x14ac:dyDescent="0.25">
      <c r="B18" s="287" t="s">
        <v>194</v>
      </c>
      <c r="C18" s="292"/>
      <c r="D18" s="292"/>
      <c r="E18" s="292"/>
      <c r="F18" s="292"/>
      <c r="G18" s="292"/>
      <c r="H18" s="292"/>
      <c r="I18" s="292"/>
    </row>
    <row r="19" spans="2:17" s="3" customFormat="1" ht="21.75" customHeight="1" x14ac:dyDescent="0.2">
      <c r="B19" s="122" t="s">
        <v>54</v>
      </c>
      <c r="C19" s="122"/>
      <c r="D19" s="122"/>
      <c r="E19" s="122"/>
      <c r="F19" s="122"/>
      <c r="G19" s="122"/>
      <c r="H19" s="122"/>
      <c r="I19" s="123"/>
      <c r="J19" s="290" t="s">
        <v>33</v>
      </c>
      <c r="K19" s="291"/>
      <c r="L19" s="276">
        <f>SUM(K12:K15)</f>
        <v>811416739</v>
      </c>
      <c r="M19" s="276"/>
      <c r="N19" s="276"/>
      <c r="O19" s="276"/>
      <c r="P19" s="277"/>
      <c r="Q19" s="37">
        <f>SUM(L12:L15)</f>
        <v>1724.0691142466974</v>
      </c>
    </row>
    <row r="20" spans="2:17" ht="24.75" customHeight="1" x14ac:dyDescent="0.2">
      <c r="B20" s="287" t="s">
        <v>155</v>
      </c>
      <c r="C20" s="287"/>
      <c r="D20" s="287"/>
      <c r="E20" s="287"/>
      <c r="F20" s="287"/>
      <c r="G20" s="287"/>
      <c r="H20" s="287"/>
      <c r="I20" s="288"/>
      <c r="J20" s="278" t="s">
        <v>12</v>
      </c>
      <c r="K20" s="279"/>
      <c r="L20" s="279"/>
      <c r="M20" s="279"/>
      <c r="N20" s="279"/>
      <c r="O20" s="279"/>
      <c r="P20" s="279"/>
      <c r="Q20" s="280"/>
    </row>
    <row r="21" spans="2:17" ht="21.75" customHeight="1" x14ac:dyDescent="0.2">
      <c r="B21" s="122"/>
      <c r="C21" s="122"/>
      <c r="D21" s="122"/>
      <c r="E21" s="122"/>
      <c r="F21" s="122"/>
      <c r="G21" s="122"/>
      <c r="J21" s="38" t="s">
        <v>20</v>
      </c>
      <c r="K21" s="54"/>
      <c r="L21" s="281" t="s">
        <v>8</v>
      </c>
      <c r="M21" s="282"/>
      <c r="N21" s="282"/>
      <c r="O21" s="282"/>
      <c r="P21" s="282"/>
      <c r="Q21" s="283"/>
    </row>
    <row r="22" spans="2:17" ht="21.75" customHeight="1" x14ac:dyDescent="0.2">
      <c r="B22" s="108"/>
      <c r="C22" s="111"/>
      <c r="D22" s="111"/>
      <c r="E22" s="111"/>
      <c r="F22" s="111"/>
      <c r="G22" s="111"/>
      <c r="J22" s="38" t="s">
        <v>21</v>
      </c>
      <c r="K22" s="181" t="s">
        <v>184</v>
      </c>
      <c r="L22" s="281" t="s">
        <v>185</v>
      </c>
      <c r="M22" s="282"/>
      <c r="N22" s="282"/>
      <c r="O22" s="282"/>
      <c r="P22" s="282"/>
      <c r="Q22" s="283"/>
    </row>
    <row r="23" spans="2:17" ht="21.75" customHeight="1" thickBot="1" x14ac:dyDescent="0.25">
      <c r="B23" s="108"/>
      <c r="C23" s="111"/>
      <c r="D23" s="111"/>
      <c r="E23" s="111"/>
      <c r="F23" s="111"/>
      <c r="G23" s="111"/>
      <c r="J23" s="39" t="s">
        <v>149</v>
      </c>
      <c r="K23" s="55"/>
      <c r="L23" s="284" t="s">
        <v>8</v>
      </c>
      <c r="M23" s="285"/>
      <c r="N23" s="285"/>
      <c r="O23" s="285"/>
      <c r="P23" s="285"/>
      <c r="Q23" s="286"/>
    </row>
    <row r="24" spans="2:17" x14ac:dyDescent="0.2">
      <c r="B24" t="s">
        <v>198</v>
      </c>
    </row>
    <row r="25" spans="2:17" x14ac:dyDescent="0.2">
      <c r="C25" s="15" t="s">
        <v>45</v>
      </c>
    </row>
    <row r="26" spans="2:17" x14ac:dyDescent="0.2">
      <c r="C26" t="s">
        <v>41</v>
      </c>
      <c r="D26" s="44"/>
      <c r="E26" s="44">
        <f>D26/589500</f>
        <v>0</v>
      </c>
    </row>
    <row r="27" spans="2:17" x14ac:dyDescent="0.2">
      <c r="C27" t="s">
        <v>197</v>
      </c>
      <c r="D27" s="44"/>
      <c r="E27" s="44">
        <f>D27/589500</f>
        <v>0</v>
      </c>
    </row>
  </sheetData>
  <mergeCells count="18">
    <mergeCell ref="L21:Q21"/>
    <mergeCell ref="L22:Q22"/>
    <mergeCell ref="L23:Q23"/>
    <mergeCell ref="P12:P13"/>
    <mergeCell ref="B9:R9"/>
    <mergeCell ref="B18:I18"/>
    <mergeCell ref="J19:K19"/>
    <mergeCell ref="L19:P19"/>
    <mergeCell ref="B20:I20"/>
    <mergeCell ref="J20:Q20"/>
    <mergeCell ref="Q12:Q13"/>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A10" zoomScale="75" zoomScaleNormal="55" zoomScaleSheetLayoutView="75" zoomScalePageLayoutView="40" workbookViewId="0">
      <selection activeCell="B13" sqref="B13"/>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8" t="s">
        <v>52</v>
      </c>
      <c r="C1" s="298"/>
      <c r="D1" s="298"/>
      <c r="E1" s="298"/>
      <c r="F1" s="298"/>
      <c r="G1" s="298"/>
      <c r="H1" s="298"/>
      <c r="I1" s="298"/>
      <c r="J1" s="298"/>
      <c r="K1" s="298"/>
      <c r="L1" s="298"/>
      <c r="M1" s="298"/>
      <c r="N1" s="298"/>
      <c r="O1" s="298"/>
      <c r="P1" s="298"/>
      <c r="Q1" s="298"/>
      <c r="R1" s="298"/>
    </row>
    <row r="2" spans="2:18" ht="59.25" customHeight="1" x14ac:dyDescent="0.2">
      <c r="B2" s="298" t="s">
        <v>53</v>
      </c>
      <c r="C2" s="298"/>
      <c r="D2" s="298"/>
      <c r="E2" s="298"/>
      <c r="F2" s="298"/>
      <c r="G2" s="298"/>
      <c r="H2" s="298"/>
      <c r="I2" s="298"/>
      <c r="J2" s="298"/>
      <c r="K2" s="298"/>
      <c r="L2" s="298"/>
      <c r="M2" s="298"/>
      <c r="N2" s="298"/>
      <c r="O2" s="298"/>
      <c r="P2" s="298"/>
      <c r="Q2" s="298"/>
      <c r="R2" s="298"/>
    </row>
    <row r="3" spans="2:18" ht="18.75" x14ac:dyDescent="0.2">
      <c r="B3" s="299" t="s">
        <v>11</v>
      </c>
      <c r="C3" s="299"/>
      <c r="D3" s="299"/>
      <c r="E3" s="299"/>
      <c r="F3" s="299"/>
      <c r="G3" s="299"/>
      <c r="H3" s="299"/>
      <c r="I3" s="299"/>
      <c r="J3" s="299"/>
      <c r="K3" s="299"/>
      <c r="L3" s="299"/>
      <c r="M3" s="299"/>
      <c r="N3" s="299"/>
      <c r="O3" s="299"/>
      <c r="P3" s="299"/>
      <c r="Q3" s="299"/>
      <c r="R3" s="299"/>
    </row>
    <row r="4" spans="2:18" ht="18.75" x14ac:dyDescent="0.2">
      <c r="B4" s="299" t="s">
        <v>0</v>
      </c>
      <c r="C4" s="299"/>
      <c r="D4" s="299"/>
      <c r="E4" s="299"/>
      <c r="F4" s="299"/>
      <c r="G4" s="299"/>
      <c r="H4" s="299"/>
      <c r="I4" s="299"/>
      <c r="J4" s="299"/>
      <c r="K4" s="299"/>
      <c r="L4" s="299"/>
      <c r="M4" s="299"/>
      <c r="N4" s="299"/>
      <c r="O4" s="299"/>
      <c r="P4" s="299"/>
      <c r="Q4" s="299"/>
      <c r="R4" s="299"/>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91</v>
      </c>
      <c r="E6" s="59"/>
      <c r="F6" s="59"/>
      <c r="G6" s="59"/>
      <c r="H6" s="59"/>
      <c r="I6" s="31"/>
      <c r="J6" s="31"/>
      <c r="K6" s="31"/>
      <c r="L6" s="31"/>
      <c r="M6" s="31"/>
      <c r="N6" s="31"/>
      <c r="O6" s="31"/>
      <c r="P6" s="31"/>
    </row>
    <row r="7" spans="2:18" ht="18.75" x14ac:dyDescent="0.2">
      <c r="B7" s="297"/>
      <c r="C7" s="297"/>
      <c r="D7" s="297"/>
      <c r="E7" s="31"/>
      <c r="F7" s="31"/>
      <c r="G7" s="31"/>
      <c r="H7" s="31"/>
      <c r="I7" s="31"/>
      <c r="J7" s="31"/>
      <c r="K7" s="31"/>
      <c r="L7" s="301" t="s">
        <v>36</v>
      </c>
      <c r="M7" s="302"/>
      <c r="N7" s="302"/>
      <c r="O7" s="302"/>
      <c r="P7" s="303"/>
      <c r="Q7" s="300">
        <v>384914198</v>
      </c>
      <c r="R7" s="300"/>
    </row>
    <row r="8" spans="2:18" ht="15.75" x14ac:dyDescent="0.25">
      <c r="B8" s="56"/>
      <c r="C8" s="56"/>
      <c r="D8" s="56"/>
      <c r="E8" s="56"/>
      <c r="F8" s="56"/>
      <c r="G8" s="56"/>
      <c r="H8" s="56"/>
      <c r="I8" s="56"/>
      <c r="J8" s="56"/>
      <c r="K8" s="56"/>
      <c r="L8" s="304"/>
      <c r="M8" s="305"/>
      <c r="N8" s="305"/>
      <c r="O8" s="305"/>
      <c r="P8" s="306"/>
      <c r="Q8" s="35">
        <f>ROUND(Q7/R5,0)</f>
        <v>653</v>
      </c>
      <c r="R8" s="34" t="s">
        <v>37</v>
      </c>
    </row>
    <row r="9" spans="2:18" ht="15.75" x14ac:dyDescent="0.2">
      <c r="B9" s="289" t="s">
        <v>35</v>
      </c>
      <c r="C9" s="289"/>
      <c r="D9" s="289"/>
      <c r="E9" s="289"/>
      <c r="F9" s="289"/>
      <c r="G9" s="289"/>
      <c r="H9" s="289"/>
      <c r="I9" s="289"/>
      <c r="J9" s="289"/>
      <c r="K9" s="289"/>
      <c r="L9" s="289"/>
      <c r="M9" s="289"/>
      <c r="N9" s="289"/>
      <c r="O9" s="289"/>
      <c r="P9" s="289"/>
      <c r="Q9" s="289"/>
      <c r="R9" s="289"/>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153</v>
      </c>
      <c r="H11" s="30" t="s">
        <v>4</v>
      </c>
      <c r="I11" s="30" t="s">
        <v>5</v>
      </c>
      <c r="J11" s="30" t="s">
        <v>6</v>
      </c>
      <c r="K11" s="30" t="s">
        <v>44</v>
      </c>
      <c r="L11" s="30" t="s">
        <v>7</v>
      </c>
      <c r="M11" s="30" t="s">
        <v>152</v>
      </c>
      <c r="N11" s="30" t="s">
        <v>156</v>
      </c>
      <c r="O11" s="30" t="s">
        <v>20</v>
      </c>
      <c r="P11" s="30" t="s">
        <v>21</v>
      </c>
      <c r="Q11" s="30" t="s">
        <v>149</v>
      </c>
      <c r="R11" s="136" t="s">
        <v>38</v>
      </c>
    </row>
    <row r="12" spans="2:18" s="81" customFormat="1" ht="60" customHeight="1" x14ac:dyDescent="0.2">
      <c r="B12" s="62">
        <v>1</v>
      </c>
      <c r="C12" s="52" t="s">
        <v>144</v>
      </c>
      <c r="D12" s="117" t="s">
        <v>92</v>
      </c>
      <c r="E12" s="89">
        <v>36026</v>
      </c>
      <c r="F12" s="89">
        <v>36178</v>
      </c>
      <c r="G12" s="90">
        <v>1</v>
      </c>
      <c r="H12" s="90" t="s">
        <v>10</v>
      </c>
      <c r="I12" s="52" t="s">
        <v>66</v>
      </c>
      <c r="J12" s="91">
        <v>202202616</v>
      </c>
      <c r="K12" s="91">
        <f>+J12*N12</f>
        <v>202202616</v>
      </c>
      <c r="L12" s="92">
        <f>K12/203826</f>
        <v>992.0354419946425</v>
      </c>
      <c r="M12" s="92" t="str">
        <f>IF((F12-E12)&gt;120,"CUMPLE")</f>
        <v>CUMPLE</v>
      </c>
      <c r="N12" s="92" t="str">
        <f>IF(G12&gt;=30%,"100%")</f>
        <v>100%</v>
      </c>
      <c r="O12" s="92" t="s">
        <v>151</v>
      </c>
      <c r="P12" s="140">
        <f>+L12</f>
        <v>992.0354419946425</v>
      </c>
      <c r="Q12" s="308">
        <f>+P12+L14</f>
        <v>1156.7576001684954</v>
      </c>
      <c r="R12" s="126" t="s">
        <v>166</v>
      </c>
    </row>
    <row r="13" spans="2:18" s="81" customFormat="1" ht="72" customHeight="1" x14ac:dyDescent="0.2">
      <c r="B13" s="63">
        <v>2</v>
      </c>
      <c r="C13" s="53" t="s">
        <v>93</v>
      </c>
      <c r="D13" s="77" t="s">
        <v>94</v>
      </c>
      <c r="E13" s="94">
        <v>40539</v>
      </c>
      <c r="F13" s="94">
        <v>40900</v>
      </c>
      <c r="G13" s="95">
        <v>0.5</v>
      </c>
      <c r="H13" s="96" t="s">
        <v>10</v>
      </c>
      <c r="I13" s="53" t="s">
        <v>96</v>
      </c>
      <c r="J13" s="97">
        <v>202387628</v>
      </c>
      <c r="K13" s="97">
        <f>+J13*N13</f>
        <v>202387628</v>
      </c>
      <c r="L13" s="98">
        <f>K13/515000</f>
        <v>392.98568543689322</v>
      </c>
      <c r="M13" s="98" t="str">
        <f>IF((F13-E13)&gt;120,"CUMPLE")</f>
        <v>CUMPLE</v>
      </c>
      <c r="N13" s="98" t="str">
        <f>IF(G13&gt;=30%,"100%")</f>
        <v>100%</v>
      </c>
      <c r="O13" s="98"/>
      <c r="P13" s="99"/>
      <c r="Q13" s="293"/>
      <c r="R13" s="139" t="s">
        <v>167</v>
      </c>
    </row>
    <row r="14" spans="2:18" s="81" customFormat="1" ht="122.25" customHeight="1" x14ac:dyDescent="0.2">
      <c r="B14" s="63">
        <v>3</v>
      </c>
      <c r="C14" s="53" t="s">
        <v>93</v>
      </c>
      <c r="D14" s="82" t="s">
        <v>95</v>
      </c>
      <c r="E14" s="94">
        <v>39398</v>
      </c>
      <c r="F14" s="94">
        <v>39605</v>
      </c>
      <c r="G14" s="95">
        <v>1</v>
      </c>
      <c r="H14" s="96" t="s">
        <v>10</v>
      </c>
      <c r="I14" s="53" t="s">
        <v>97</v>
      </c>
      <c r="J14" s="97">
        <v>71440000</v>
      </c>
      <c r="K14" s="97">
        <f>+J14*G14</f>
        <v>71440000</v>
      </c>
      <c r="L14" s="98">
        <f>K14/433700</f>
        <v>164.7221581738529</v>
      </c>
      <c r="M14" s="98" t="str">
        <f>IF((F14-E14)&gt;120,"CUMPLE")</f>
        <v>CUMPLE</v>
      </c>
      <c r="N14" s="125" t="str">
        <f>IF(G14&gt;=30%,"100%",G14)</f>
        <v>100%</v>
      </c>
      <c r="O14" s="98" t="s">
        <v>151</v>
      </c>
      <c r="P14" s="100"/>
      <c r="Q14" s="85"/>
      <c r="R14" s="84"/>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195</v>
      </c>
      <c r="C17" s="122"/>
      <c r="D17" s="122"/>
      <c r="E17" s="122"/>
      <c r="F17" s="122"/>
      <c r="G17" s="122"/>
      <c r="H17" s="26"/>
      <c r="I17" s="26"/>
    </row>
    <row r="18" spans="2:17" ht="45.75" customHeight="1" thickBot="1" x14ac:dyDescent="0.25">
      <c r="B18" s="287" t="s">
        <v>194</v>
      </c>
      <c r="C18" s="292"/>
      <c r="D18" s="292"/>
      <c r="E18" s="292"/>
      <c r="F18" s="292"/>
      <c r="G18" s="292"/>
      <c r="H18" s="292"/>
      <c r="I18" s="292"/>
    </row>
    <row r="19" spans="2:17" s="3" customFormat="1" ht="21.75" customHeight="1" x14ac:dyDescent="0.2">
      <c r="B19" s="122" t="s">
        <v>54</v>
      </c>
      <c r="C19" s="122"/>
      <c r="D19" s="122"/>
      <c r="E19" s="122"/>
      <c r="F19" s="122"/>
      <c r="G19" s="122"/>
      <c r="H19" s="122"/>
      <c r="I19" s="123"/>
      <c r="J19" s="290" t="s">
        <v>33</v>
      </c>
      <c r="K19" s="291"/>
      <c r="L19" s="276">
        <f>SUM(K12:K15)</f>
        <v>476030244</v>
      </c>
      <c r="M19" s="276"/>
      <c r="N19" s="276"/>
      <c r="O19" s="276"/>
      <c r="P19" s="277"/>
      <c r="Q19" s="37">
        <f>SUM(L12:L15)</f>
        <v>1549.7432856053886</v>
      </c>
    </row>
    <row r="20" spans="2:17" ht="24.75" customHeight="1" x14ac:dyDescent="0.2">
      <c r="B20" s="287" t="s">
        <v>155</v>
      </c>
      <c r="C20" s="287"/>
      <c r="D20" s="287"/>
      <c r="E20" s="287"/>
      <c r="F20" s="287"/>
      <c r="G20" s="287"/>
      <c r="H20" s="287"/>
      <c r="I20" s="288"/>
      <c r="J20" s="278" t="s">
        <v>12</v>
      </c>
      <c r="K20" s="279"/>
      <c r="L20" s="279"/>
      <c r="M20" s="279"/>
      <c r="N20" s="279"/>
      <c r="O20" s="279"/>
      <c r="P20" s="279"/>
      <c r="Q20" s="280"/>
    </row>
    <row r="21" spans="2:17" ht="21.75" customHeight="1" x14ac:dyDescent="0.2">
      <c r="B21" s="122"/>
      <c r="C21" s="122"/>
      <c r="D21" s="122"/>
      <c r="E21" s="122"/>
      <c r="F21" s="122"/>
      <c r="G21" s="122"/>
      <c r="J21" s="38" t="s">
        <v>20</v>
      </c>
      <c r="K21" s="54"/>
      <c r="L21" s="281" t="s">
        <v>8</v>
      </c>
      <c r="M21" s="282"/>
      <c r="N21" s="282"/>
      <c r="O21" s="282"/>
      <c r="P21" s="282"/>
      <c r="Q21" s="283"/>
    </row>
    <row r="22" spans="2:17" ht="21.75" customHeight="1" x14ac:dyDescent="0.2">
      <c r="B22" s="108"/>
      <c r="C22" s="111"/>
      <c r="D22" s="111"/>
      <c r="E22" s="111"/>
      <c r="F22" s="111"/>
      <c r="G22" s="111"/>
      <c r="J22" s="38" t="s">
        <v>21</v>
      </c>
      <c r="K22" s="54"/>
      <c r="L22" s="281" t="s">
        <v>8</v>
      </c>
      <c r="M22" s="282"/>
      <c r="N22" s="282"/>
      <c r="O22" s="282"/>
      <c r="P22" s="282"/>
      <c r="Q22" s="283"/>
    </row>
    <row r="23" spans="2:17" ht="21.75" customHeight="1" thickBot="1" x14ac:dyDescent="0.25">
      <c r="B23" s="108"/>
      <c r="C23" s="111"/>
      <c r="D23" s="111"/>
      <c r="E23" s="111"/>
      <c r="F23" s="111"/>
      <c r="G23" s="111"/>
      <c r="J23" s="39" t="s">
        <v>149</v>
      </c>
      <c r="K23" s="55"/>
      <c r="L23" s="284" t="s">
        <v>8</v>
      </c>
      <c r="M23" s="285"/>
      <c r="N23" s="285"/>
      <c r="O23" s="285"/>
      <c r="P23" s="285"/>
      <c r="Q23" s="286"/>
    </row>
    <row r="24" spans="2:17" x14ac:dyDescent="0.2">
      <c r="B24" t="s">
        <v>198</v>
      </c>
    </row>
    <row r="25" spans="2:17" x14ac:dyDescent="0.2">
      <c r="C25" s="15" t="s">
        <v>45</v>
      </c>
    </row>
    <row r="26" spans="2:17" x14ac:dyDescent="0.2">
      <c r="C26" t="s">
        <v>41</v>
      </c>
      <c r="D26" s="44"/>
      <c r="E26" s="44">
        <f>D26/589500</f>
        <v>0</v>
      </c>
    </row>
    <row r="27" spans="2:17" x14ac:dyDescent="0.2">
      <c r="C27" t="s">
        <v>197</v>
      </c>
      <c r="D27" s="44"/>
      <c r="E27" s="44">
        <f>D27/589500</f>
        <v>0</v>
      </c>
    </row>
  </sheetData>
  <mergeCells count="17">
    <mergeCell ref="L21:Q21"/>
    <mergeCell ref="L22:Q22"/>
    <mergeCell ref="L23:Q23"/>
    <mergeCell ref="B9:R9"/>
    <mergeCell ref="B18:I18"/>
    <mergeCell ref="J19:K19"/>
    <mergeCell ref="L19:P19"/>
    <mergeCell ref="B20:I20"/>
    <mergeCell ref="J20:Q20"/>
    <mergeCell ref="Q12:Q13"/>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showGridLines="0" view="pageBreakPreview" topLeftCell="A11" zoomScale="75" zoomScaleNormal="55" zoomScaleSheetLayoutView="75" zoomScalePageLayoutView="40" workbookViewId="0">
      <selection activeCell="J13" sqref="J13"/>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8" t="s">
        <v>52</v>
      </c>
      <c r="C1" s="298"/>
      <c r="D1" s="298"/>
      <c r="E1" s="298"/>
      <c r="F1" s="298"/>
      <c r="G1" s="298"/>
      <c r="H1" s="298"/>
      <c r="I1" s="298"/>
      <c r="J1" s="298"/>
      <c r="K1" s="298"/>
      <c r="L1" s="298"/>
      <c r="M1" s="298"/>
      <c r="N1" s="298"/>
      <c r="O1" s="298"/>
      <c r="P1" s="298"/>
      <c r="Q1" s="298"/>
      <c r="R1" s="298"/>
    </row>
    <row r="2" spans="2:18" ht="59.25" customHeight="1" x14ac:dyDescent="0.2">
      <c r="B2" s="298" t="s">
        <v>53</v>
      </c>
      <c r="C2" s="298"/>
      <c r="D2" s="298"/>
      <c r="E2" s="298"/>
      <c r="F2" s="298"/>
      <c r="G2" s="298"/>
      <c r="H2" s="298"/>
      <c r="I2" s="298"/>
      <c r="J2" s="298"/>
      <c r="K2" s="298"/>
      <c r="L2" s="298"/>
      <c r="M2" s="298"/>
      <c r="N2" s="298"/>
      <c r="O2" s="298"/>
      <c r="P2" s="298"/>
      <c r="Q2" s="298"/>
      <c r="R2" s="298"/>
    </row>
    <row r="3" spans="2:18" ht="18.75" x14ac:dyDescent="0.2">
      <c r="B3" s="299" t="s">
        <v>11</v>
      </c>
      <c r="C3" s="299"/>
      <c r="D3" s="299"/>
      <c r="E3" s="299"/>
      <c r="F3" s="299"/>
      <c r="G3" s="299"/>
      <c r="H3" s="299"/>
      <c r="I3" s="299"/>
      <c r="J3" s="299"/>
      <c r="K3" s="299"/>
      <c r="L3" s="299"/>
      <c r="M3" s="299"/>
      <c r="N3" s="299"/>
      <c r="O3" s="299"/>
      <c r="P3" s="299"/>
      <c r="Q3" s="299"/>
      <c r="R3" s="299"/>
    </row>
    <row r="4" spans="2:18" ht="18.75" x14ac:dyDescent="0.2">
      <c r="B4" s="299" t="s">
        <v>0</v>
      </c>
      <c r="C4" s="299"/>
      <c r="D4" s="299"/>
      <c r="E4" s="299"/>
      <c r="F4" s="299"/>
      <c r="G4" s="299"/>
      <c r="H4" s="299"/>
      <c r="I4" s="299"/>
      <c r="J4" s="299"/>
      <c r="K4" s="299"/>
      <c r="L4" s="299"/>
      <c r="M4" s="299"/>
      <c r="N4" s="299"/>
      <c r="O4" s="299"/>
      <c r="P4" s="299"/>
      <c r="Q4" s="299"/>
      <c r="R4" s="299"/>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104</v>
      </c>
      <c r="E6" s="59"/>
      <c r="F6" s="59"/>
      <c r="G6" s="59"/>
      <c r="H6" s="59"/>
      <c r="I6" s="31"/>
      <c r="J6" s="31"/>
      <c r="K6" s="31"/>
      <c r="L6" s="31"/>
      <c r="M6" s="31"/>
      <c r="N6" s="31"/>
      <c r="O6" s="31"/>
      <c r="P6" s="31"/>
    </row>
    <row r="7" spans="2:18" ht="18.75" x14ac:dyDescent="0.2">
      <c r="B7" s="297"/>
      <c r="C7" s="297"/>
      <c r="D7" s="297"/>
      <c r="E7" s="31"/>
      <c r="F7" s="31"/>
      <c r="G7" s="31"/>
      <c r="H7" s="31"/>
      <c r="I7" s="31"/>
      <c r="J7" s="31"/>
      <c r="K7" s="31"/>
      <c r="L7" s="301" t="s">
        <v>36</v>
      </c>
      <c r="M7" s="302"/>
      <c r="N7" s="302"/>
      <c r="O7" s="302"/>
      <c r="P7" s="303"/>
      <c r="Q7" s="300">
        <v>384914198</v>
      </c>
      <c r="R7" s="300"/>
    </row>
    <row r="8" spans="2:18" ht="15.75" x14ac:dyDescent="0.25">
      <c r="B8" s="56"/>
      <c r="C8" s="56"/>
      <c r="D8" s="56"/>
      <c r="E8" s="56"/>
      <c r="F8" s="56"/>
      <c r="G8" s="56"/>
      <c r="H8" s="56"/>
      <c r="I8" s="56"/>
      <c r="J8" s="56"/>
      <c r="K8" s="56"/>
      <c r="L8" s="304"/>
      <c r="M8" s="305"/>
      <c r="N8" s="305"/>
      <c r="O8" s="305"/>
      <c r="P8" s="306"/>
      <c r="Q8" s="35">
        <f>ROUND(Q7/R5,0)</f>
        <v>653</v>
      </c>
      <c r="R8" s="34" t="s">
        <v>37</v>
      </c>
    </row>
    <row r="9" spans="2:18" ht="15.75" x14ac:dyDescent="0.2">
      <c r="B9" s="289" t="s">
        <v>35</v>
      </c>
      <c r="C9" s="289"/>
      <c r="D9" s="289"/>
      <c r="E9" s="289"/>
      <c r="F9" s="289"/>
      <c r="G9" s="289"/>
      <c r="H9" s="289"/>
      <c r="I9" s="289"/>
      <c r="J9" s="289"/>
      <c r="K9" s="289"/>
      <c r="L9" s="289"/>
      <c r="M9" s="289"/>
      <c r="N9" s="289"/>
      <c r="O9" s="289"/>
      <c r="P9" s="289"/>
      <c r="Q9" s="289"/>
      <c r="R9" s="289"/>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153</v>
      </c>
      <c r="H11" s="30" t="s">
        <v>4</v>
      </c>
      <c r="I11" s="30" t="s">
        <v>5</v>
      </c>
      <c r="J11" s="30" t="s">
        <v>6</v>
      </c>
      <c r="K11" s="30" t="s">
        <v>44</v>
      </c>
      <c r="L11" s="30" t="s">
        <v>7</v>
      </c>
      <c r="M11" s="30" t="s">
        <v>152</v>
      </c>
      <c r="N11" s="30" t="s">
        <v>156</v>
      </c>
      <c r="O11" s="30" t="s">
        <v>20</v>
      </c>
      <c r="P11" s="30" t="s">
        <v>21</v>
      </c>
      <c r="Q11" s="30" t="s">
        <v>149</v>
      </c>
      <c r="R11" s="4" t="s">
        <v>38</v>
      </c>
    </row>
    <row r="12" spans="2:18" s="81" customFormat="1" ht="102" customHeight="1" x14ac:dyDescent="0.2">
      <c r="B12" s="62">
        <v>1</v>
      </c>
      <c r="C12" s="52" t="s">
        <v>143</v>
      </c>
      <c r="D12" s="142" t="s">
        <v>106</v>
      </c>
      <c r="E12" s="89">
        <v>39545</v>
      </c>
      <c r="F12" s="89">
        <v>39910</v>
      </c>
      <c r="G12" s="90">
        <v>1</v>
      </c>
      <c r="H12" s="90" t="s">
        <v>10</v>
      </c>
      <c r="I12" s="143" t="s">
        <v>110</v>
      </c>
      <c r="J12" s="91">
        <v>850000000</v>
      </c>
      <c r="K12" s="91">
        <f>+J12*N12</f>
        <v>850000000</v>
      </c>
      <c r="L12" s="92">
        <f>K12/461500</f>
        <v>1841.8201516793067</v>
      </c>
      <c r="M12" s="92" t="str">
        <f>IF((F12-E12)&gt;120,"CUMPLE")</f>
        <v>CUMPLE</v>
      </c>
      <c r="N12" s="92" t="str">
        <f>IF(G12&gt;=30%,"100%")</f>
        <v>100%</v>
      </c>
      <c r="O12" s="92" t="s">
        <v>151</v>
      </c>
      <c r="P12" s="140">
        <f>+L12</f>
        <v>1841.8201516793067</v>
      </c>
      <c r="Q12" s="79">
        <f>+L12</f>
        <v>1841.8201516793067</v>
      </c>
      <c r="R12" s="80"/>
    </row>
    <row r="13" spans="2:18" s="81" customFormat="1" ht="157.5" x14ac:dyDescent="0.2">
      <c r="B13" s="63">
        <v>2</v>
      </c>
      <c r="C13" s="53" t="s">
        <v>105</v>
      </c>
      <c r="D13" s="141" t="s">
        <v>107</v>
      </c>
      <c r="E13" s="94">
        <v>38546</v>
      </c>
      <c r="F13" s="94">
        <v>38923</v>
      </c>
      <c r="G13" s="95">
        <v>0.35</v>
      </c>
      <c r="H13" s="96" t="s">
        <v>10</v>
      </c>
      <c r="I13" s="53" t="s">
        <v>43</v>
      </c>
      <c r="J13" s="97">
        <v>69206686.640000001</v>
      </c>
      <c r="K13" s="97">
        <f>+J13*N13</f>
        <v>69206686.640000001</v>
      </c>
      <c r="L13" s="98">
        <f>K13/381500</f>
        <v>181.40678018348623</v>
      </c>
      <c r="M13" s="98" t="str">
        <f>IF((F13-E13)&gt;120,"CUMPLE")</f>
        <v>CUMPLE</v>
      </c>
      <c r="N13" s="98" t="str">
        <f>IF(G13&gt;=30%,"100%")</f>
        <v>100%</v>
      </c>
      <c r="O13" s="98" t="s">
        <v>151</v>
      </c>
      <c r="P13" s="99"/>
      <c r="Q13" s="83"/>
      <c r="R13" s="84"/>
    </row>
    <row r="14" spans="2:18" s="81" customFormat="1" x14ac:dyDescent="0.2">
      <c r="B14" s="63"/>
      <c r="C14" s="53"/>
      <c r="D14" s="82"/>
      <c r="E14" s="94"/>
      <c r="F14" s="94"/>
      <c r="G14" s="95"/>
      <c r="H14" s="96"/>
      <c r="I14" s="53"/>
      <c r="J14" s="97"/>
      <c r="K14" s="97"/>
      <c r="L14" s="98"/>
      <c r="M14" s="98"/>
      <c r="N14" s="125"/>
      <c r="O14" s="98"/>
      <c r="P14" s="100"/>
      <c r="Q14" s="85"/>
      <c r="R14" s="84"/>
    </row>
    <row r="15" spans="2:18" s="128" customFormat="1" ht="13.5" thickBot="1" x14ac:dyDescent="0.25">
      <c r="B15" s="64"/>
      <c r="C15" s="65"/>
      <c r="D15" s="130"/>
      <c r="E15" s="101"/>
      <c r="F15" s="101"/>
      <c r="G15" s="102"/>
      <c r="H15" s="103"/>
      <c r="I15" s="65"/>
      <c r="J15" s="104"/>
      <c r="K15" s="104"/>
      <c r="L15" s="105"/>
      <c r="M15" s="105"/>
      <c r="N15" s="124"/>
      <c r="O15" s="105"/>
      <c r="P15" s="135"/>
      <c r="Q15" s="106"/>
      <c r="R15" s="131"/>
    </row>
    <row r="16" spans="2:18" ht="15.75" customHeight="1" x14ac:dyDescent="0.2">
      <c r="B16" s="121"/>
      <c r="C16" s="121"/>
      <c r="D16" s="121"/>
      <c r="E16" s="121"/>
      <c r="F16" s="121"/>
      <c r="G16" s="121"/>
      <c r="H16" s="26"/>
      <c r="I16" s="27"/>
    </row>
    <row r="17" spans="2:17" ht="15.75" customHeight="1" x14ac:dyDescent="0.2">
      <c r="B17" s="122" t="s">
        <v>195</v>
      </c>
      <c r="C17" s="122"/>
      <c r="D17" s="122"/>
      <c r="E17" s="122"/>
      <c r="F17" s="122"/>
      <c r="G17" s="122"/>
      <c r="H17" s="26"/>
      <c r="I17" s="26"/>
    </row>
    <row r="18" spans="2:17" ht="45.75" customHeight="1" thickBot="1" x14ac:dyDescent="0.25">
      <c r="B18" s="287" t="s">
        <v>194</v>
      </c>
      <c r="C18" s="292"/>
      <c r="D18" s="292"/>
      <c r="E18" s="292"/>
      <c r="F18" s="292"/>
      <c r="G18" s="292"/>
      <c r="H18" s="292"/>
      <c r="I18" s="292"/>
    </row>
    <row r="19" spans="2:17" s="3" customFormat="1" ht="21.75" customHeight="1" x14ac:dyDescent="0.2">
      <c r="B19" s="122" t="s">
        <v>54</v>
      </c>
      <c r="C19" s="122"/>
      <c r="D19" s="122"/>
      <c r="E19" s="122"/>
      <c r="F19" s="122"/>
      <c r="G19" s="122"/>
      <c r="H19" s="122"/>
      <c r="I19" s="123"/>
      <c r="J19" s="290" t="s">
        <v>33</v>
      </c>
      <c r="K19" s="291"/>
      <c r="L19" s="276">
        <f>SUM(K12:K15)</f>
        <v>919206686.63999999</v>
      </c>
      <c r="M19" s="276"/>
      <c r="N19" s="276"/>
      <c r="O19" s="276"/>
      <c r="P19" s="277"/>
      <c r="Q19" s="37">
        <f>SUM(L12:L15)</f>
        <v>2023.226931862793</v>
      </c>
    </row>
    <row r="20" spans="2:17" ht="24.75" customHeight="1" x14ac:dyDescent="0.2">
      <c r="B20" s="287" t="s">
        <v>155</v>
      </c>
      <c r="C20" s="287"/>
      <c r="D20" s="287"/>
      <c r="E20" s="287"/>
      <c r="F20" s="287"/>
      <c r="G20" s="287"/>
      <c r="H20" s="287"/>
      <c r="I20" s="288"/>
      <c r="J20" s="278" t="s">
        <v>12</v>
      </c>
      <c r="K20" s="279"/>
      <c r="L20" s="279"/>
      <c r="M20" s="279"/>
      <c r="N20" s="279"/>
      <c r="O20" s="279"/>
      <c r="P20" s="279"/>
      <c r="Q20" s="280"/>
    </row>
    <row r="21" spans="2:17" ht="21.75" customHeight="1" x14ac:dyDescent="0.2">
      <c r="B21" s="122"/>
      <c r="C21" s="122"/>
      <c r="D21" s="122"/>
      <c r="E21" s="122"/>
      <c r="F21" s="122"/>
      <c r="G21" s="122"/>
      <c r="J21" s="38" t="s">
        <v>20</v>
      </c>
      <c r="K21" s="54"/>
      <c r="L21" s="281" t="s">
        <v>8</v>
      </c>
      <c r="M21" s="282"/>
      <c r="N21" s="282"/>
      <c r="O21" s="282"/>
      <c r="P21" s="282"/>
      <c r="Q21" s="283"/>
    </row>
    <row r="22" spans="2:17" ht="21.75" customHeight="1" x14ac:dyDescent="0.2">
      <c r="B22" s="108"/>
      <c r="C22" s="111"/>
      <c r="D22" s="111"/>
      <c r="E22" s="111"/>
      <c r="F22" s="111"/>
      <c r="G22" s="111"/>
      <c r="J22" s="38" t="s">
        <v>21</v>
      </c>
      <c r="K22" s="54"/>
      <c r="L22" s="281" t="s">
        <v>8</v>
      </c>
      <c r="M22" s="282"/>
      <c r="N22" s="282"/>
      <c r="O22" s="282"/>
      <c r="P22" s="282"/>
      <c r="Q22" s="283"/>
    </row>
    <row r="23" spans="2:17" ht="21.75" customHeight="1" thickBot="1" x14ac:dyDescent="0.25">
      <c r="B23" s="108"/>
      <c r="C23" s="111"/>
      <c r="D23" s="111"/>
      <c r="E23" s="111"/>
      <c r="F23" s="111"/>
      <c r="G23" s="111"/>
      <c r="J23" s="39" t="s">
        <v>149</v>
      </c>
      <c r="K23" s="55"/>
      <c r="L23" s="284" t="s">
        <v>8</v>
      </c>
      <c r="M23" s="285"/>
      <c r="N23" s="285"/>
      <c r="O23" s="285"/>
      <c r="P23" s="285"/>
      <c r="Q23" s="286"/>
    </row>
    <row r="24" spans="2:17" x14ac:dyDescent="0.2">
      <c r="B24" t="s">
        <v>198</v>
      </c>
    </row>
    <row r="25" spans="2:17" x14ac:dyDescent="0.2">
      <c r="C25" s="15" t="s">
        <v>45</v>
      </c>
    </row>
    <row r="26" spans="2:17" x14ac:dyDescent="0.2">
      <c r="C26" t="s">
        <v>41</v>
      </c>
      <c r="D26" s="44"/>
      <c r="E26" s="44">
        <f>D26/589500</f>
        <v>0</v>
      </c>
    </row>
    <row r="27" spans="2:17" x14ac:dyDescent="0.2">
      <c r="C27" t="s">
        <v>197</v>
      </c>
      <c r="D27" s="44"/>
      <c r="E27" s="44">
        <f>D27/589500</f>
        <v>0</v>
      </c>
    </row>
  </sheetData>
  <mergeCells count="16">
    <mergeCell ref="L21:Q21"/>
    <mergeCell ref="L22:Q22"/>
    <mergeCell ref="L23:Q23"/>
    <mergeCell ref="B9:R9"/>
    <mergeCell ref="B18:I18"/>
    <mergeCell ref="J19:K19"/>
    <mergeCell ref="L19:P19"/>
    <mergeCell ref="B20:I20"/>
    <mergeCell ref="J20:Q20"/>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showGridLines="0" view="pageBreakPreview" topLeftCell="J11" zoomScale="75" zoomScaleNormal="55" zoomScaleSheetLayoutView="75" zoomScalePageLayoutView="40" workbookViewId="0">
      <selection activeCell="O15" sqref="O15"/>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8" t="s">
        <v>52</v>
      </c>
      <c r="C1" s="298"/>
      <c r="D1" s="298"/>
      <c r="E1" s="298"/>
      <c r="F1" s="298"/>
      <c r="G1" s="298"/>
      <c r="H1" s="298"/>
      <c r="I1" s="298"/>
      <c r="J1" s="298"/>
      <c r="K1" s="298"/>
      <c r="L1" s="298"/>
      <c r="M1" s="298"/>
      <c r="N1" s="298"/>
      <c r="O1" s="298"/>
      <c r="P1" s="298"/>
      <c r="Q1" s="298"/>
      <c r="R1" s="298"/>
    </row>
    <row r="2" spans="2:18" ht="59.25" customHeight="1" x14ac:dyDescent="0.2">
      <c r="B2" s="298" t="s">
        <v>53</v>
      </c>
      <c r="C2" s="298"/>
      <c r="D2" s="298"/>
      <c r="E2" s="298"/>
      <c r="F2" s="298"/>
      <c r="G2" s="298"/>
      <c r="H2" s="298"/>
      <c r="I2" s="298"/>
      <c r="J2" s="298"/>
      <c r="K2" s="298"/>
      <c r="L2" s="298"/>
      <c r="M2" s="298"/>
      <c r="N2" s="298"/>
      <c r="O2" s="298"/>
      <c r="P2" s="298"/>
      <c r="Q2" s="298"/>
      <c r="R2" s="298"/>
    </row>
    <row r="3" spans="2:18" ht="18.75" x14ac:dyDescent="0.2">
      <c r="B3" s="299" t="s">
        <v>11</v>
      </c>
      <c r="C3" s="299"/>
      <c r="D3" s="299"/>
      <c r="E3" s="299"/>
      <c r="F3" s="299"/>
      <c r="G3" s="299"/>
      <c r="H3" s="299"/>
      <c r="I3" s="299"/>
      <c r="J3" s="299"/>
      <c r="K3" s="299"/>
      <c r="L3" s="299"/>
      <c r="M3" s="299"/>
      <c r="N3" s="299"/>
      <c r="O3" s="299"/>
      <c r="P3" s="299"/>
      <c r="Q3" s="299"/>
      <c r="R3" s="299"/>
    </row>
    <row r="4" spans="2:18" ht="18.75" x14ac:dyDescent="0.2">
      <c r="B4" s="299" t="s">
        <v>0</v>
      </c>
      <c r="C4" s="299"/>
      <c r="D4" s="299"/>
      <c r="E4" s="299"/>
      <c r="F4" s="299"/>
      <c r="G4" s="299"/>
      <c r="H4" s="299"/>
      <c r="I4" s="299"/>
      <c r="J4" s="299"/>
      <c r="K4" s="299"/>
      <c r="L4" s="299"/>
      <c r="M4" s="299"/>
      <c r="N4" s="299"/>
      <c r="O4" s="299"/>
      <c r="P4" s="299"/>
      <c r="Q4" s="299"/>
      <c r="R4" s="299"/>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196</v>
      </c>
      <c r="E6" s="59"/>
      <c r="F6" s="59"/>
      <c r="G6" s="59"/>
      <c r="H6" s="59"/>
      <c r="I6" s="31"/>
      <c r="J6" s="31"/>
      <c r="K6" s="31"/>
      <c r="L6" s="31"/>
      <c r="M6" s="31"/>
      <c r="N6" s="31"/>
      <c r="O6" s="31"/>
      <c r="P6" s="31"/>
    </row>
    <row r="7" spans="2:18" ht="18.75" x14ac:dyDescent="0.2">
      <c r="B7" s="297"/>
      <c r="C7" s="297"/>
      <c r="D7" s="297"/>
      <c r="E7" s="31"/>
      <c r="F7" s="31"/>
      <c r="G7" s="31"/>
      <c r="H7" s="31"/>
      <c r="I7" s="31"/>
      <c r="J7" s="31"/>
      <c r="K7" s="31"/>
      <c r="L7" s="301" t="s">
        <v>36</v>
      </c>
      <c r="M7" s="302"/>
      <c r="N7" s="302"/>
      <c r="O7" s="302"/>
      <c r="P7" s="303"/>
      <c r="Q7" s="300">
        <v>384914198</v>
      </c>
      <c r="R7" s="300"/>
    </row>
    <row r="8" spans="2:18" ht="15.75" x14ac:dyDescent="0.25">
      <c r="B8" s="56"/>
      <c r="C8" s="56"/>
      <c r="D8" s="56"/>
      <c r="E8" s="56"/>
      <c r="F8" s="56"/>
      <c r="G8" s="56"/>
      <c r="H8" s="56"/>
      <c r="I8" s="56"/>
      <c r="J8" s="56"/>
      <c r="K8" s="56"/>
      <c r="L8" s="304"/>
      <c r="M8" s="305"/>
      <c r="N8" s="305"/>
      <c r="O8" s="305"/>
      <c r="P8" s="306"/>
      <c r="Q8" s="35">
        <f>ROUND(Q7/R5,0)</f>
        <v>653</v>
      </c>
      <c r="R8" s="34" t="s">
        <v>37</v>
      </c>
    </row>
    <row r="9" spans="2:18" ht="15.75" x14ac:dyDescent="0.2">
      <c r="B9" s="289" t="s">
        <v>35</v>
      </c>
      <c r="C9" s="289"/>
      <c r="D9" s="289"/>
      <c r="E9" s="289"/>
      <c r="F9" s="289"/>
      <c r="G9" s="289"/>
      <c r="H9" s="289"/>
      <c r="I9" s="289"/>
      <c r="J9" s="289"/>
      <c r="K9" s="289"/>
      <c r="L9" s="289"/>
      <c r="M9" s="289"/>
      <c r="N9" s="289"/>
      <c r="O9" s="289"/>
      <c r="P9" s="289"/>
      <c r="Q9" s="289"/>
      <c r="R9" s="289"/>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153</v>
      </c>
      <c r="H11" s="30" t="s">
        <v>4</v>
      </c>
      <c r="I11" s="30" t="s">
        <v>5</v>
      </c>
      <c r="J11" s="30" t="s">
        <v>6</v>
      </c>
      <c r="K11" s="30" t="s">
        <v>44</v>
      </c>
      <c r="L11" s="30" t="s">
        <v>7</v>
      </c>
      <c r="M11" s="30" t="s">
        <v>152</v>
      </c>
      <c r="N11" s="30" t="s">
        <v>156</v>
      </c>
      <c r="O11" s="30" t="s">
        <v>20</v>
      </c>
      <c r="P11" s="30" t="s">
        <v>21</v>
      </c>
      <c r="Q11" s="30" t="s">
        <v>149</v>
      </c>
      <c r="R11" s="136" t="s">
        <v>38</v>
      </c>
    </row>
    <row r="12" spans="2:18" s="81" customFormat="1" ht="44.25" customHeight="1" x14ac:dyDescent="0.2">
      <c r="B12" s="62">
        <v>1</v>
      </c>
      <c r="C12" s="52" t="s">
        <v>196</v>
      </c>
      <c r="D12" s="117" t="s">
        <v>111</v>
      </c>
      <c r="E12" s="89">
        <v>40207</v>
      </c>
      <c r="F12" s="89">
        <v>40742</v>
      </c>
      <c r="G12" s="90">
        <v>1</v>
      </c>
      <c r="H12" s="90" t="s">
        <v>10</v>
      </c>
      <c r="I12" s="52" t="s">
        <v>116</v>
      </c>
      <c r="J12" s="91">
        <v>1367715626</v>
      </c>
      <c r="K12" s="91">
        <f>+J12*N12</f>
        <v>1367715626</v>
      </c>
      <c r="L12" s="92">
        <f>K12/515000</f>
        <v>2655.7584970873786</v>
      </c>
      <c r="M12" s="92" t="str">
        <f>IF((F12-E12)&gt;120,"CUMPLE")</f>
        <v>CUMPLE</v>
      </c>
      <c r="N12" s="92" t="str">
        <f>IF(G12&gt;=30%,"100%")</f>
        <v>100%</v>
      </c>
      <c r="O12" s="92" t="s">
        <v>151</v>
      </c>
      <c r="P12" s="294" t="s">
        <v>150</v>
      </c>
      <c r="Q12" s="79">
        <f>+L12</f>
        <v>2655.7584970873786</v>
      </c>
      <c r="R12" s="80"/>
    </row>
    <row r="13" spans="2:18" s="81" customFormat="1" ht="67.5" customHeight="1" x14ac:dyDescent="0.2">
      <c r="B13" s="63">
        <v>2</v>
      </c>
      <c r="C13" s="53" t="s">
        <v>196</v>
      </c>
      <c r="D13" s="77" t="s">
        <v>112</v>
      </c>
      <c r="E13" s="94">
        <v>39539</v>
      </c>
      <c r="F13" s="94">
        <v>39812</v>
      </c>
      <c r="G13" s="95">
        <v>0.5</v>
      </c>
      <c r="H13" s="96" t="s">
        <v>10</v>
      </c>
      <c r="I13" s="53" t="s">
        <v>117</v>
      </c>
      <c r="J13" s="97">
        <v>2985347000</v>
      </c>
      <c r="K13" s="97">
        <f>+J13*N13</f>
        <v>2985347000</v>
      </c>
      <c r="L13" s="98">
        <f>K13/461500</f>
        <v>6468.7908992416033</v>
      </c>
      <c r="M13" s="98" t="str">
        <f>IF((F13-E13)&gt;120,"CUMPLE")</f>
        <v>CUMPLE</v>
      </c>
      <c r="N13" s="98" t="str">
        <f t="shared" ref="N13:N15" si="0">IF(G13&gt;=30%,"100%")</f>
        <v>100%</v>
      </c>
      <c r="O13" s="98"/>
      <c r="P13" s="295"/>
      <c r="Q13" s="83"/>
      <c r="R13" s="84"/>
    </row>
    <row r="14" spans="2:18" s="81" customFormat="1" ht="51.75" customHeight="1" x14ac:dyDescent="0.2">
      <c r="B14" s="63">
        <v>3</v>
      </c>
      <c r="C14" s="53" t="s">
        <v>196</v>
      </c>
      <c r="D14" s="77" t="s">
        <v>113</v>
      </c>
      <c r="E14" s="94">
        <v>39873</v>
      </c>
      <c r="F14" s="94">
        <v>40152</v>
      </c>
      <c r="G14" s="95">
        <v>1</v>
      </c>
      <c r="H14" s="96" t="s">
        <v>10</v>
      </c>
      <c r="I14" s="53" t="s">
        <v>118</v>
      </c>
      <c r="J14" s="97">
        <v>2685556855</v>
      </c>
      <c r="K14" s="97">
        <f>+J14*G14</f>
        <v>2685556855</v>
      </c>
      <c r="L14" s="98">
        <f>K14/496900</f>
        <v>5404.6223686858521</v>
      </c>
      <c r="M14" s="98" t="str">
        <f>IF((F14-E14)&gt;120,"CUMPLE")</f>
        <v>CUMPLE</v>
      </c>
      <c r="N14" s="98" t="str">
        <f t="shared" si="0"/>
        <v>100%</v>
      </c>
      <c r="O14" s="98"/>
      <c r="P14" s="295"/>
      <c r="Q14" s="83"/>
      <c r="R14" s="84"/>
    </row>
    <row r="15" spans="2:18" s="81" customFormat="1" ht="120.75" customHeight="1" x14ac:dyDescent="0.2">
      <c r="B15" s="63">
        <v>4</v>
      </c>
      <c r="C15" s="53" t="s">
        <v>196</v>
      </c>
      <c r="D15" s="77" t="s">
        <v>114</v>
      </c>
      <c r="E15" s="94">
        <v>40346</v>
      </c>
      <c r="F15" s="94">
        <v>40648</v>
      </c>
      <c r="G15" s="95">
        <v>1</v>
      </c>
      <c r="H15" s="96" t="s">
        <v>10</v>
      </c>
      <c r="I15" s="53" t="s">
        <v>119</v>
      </c>
      <c r="J15" s="97">
        <v>2818800000</v>
      </c>
      <c r="K15" s="97">
        <f>+J15*G15</f>
        <v>2818800000</v>
      </c>
      <c r="L15" s="98">
        <f>K15/5150000</f>
        <v>547.33980582524271</v>
      </c>
      <c r="M15" s="98" t="str">
        <f>IF((F15-E15)&gt;120,"CUMPLE")</f>
        <v>CUMPLE</v>
      </c>
      <c r="N15" s="98" t="str">
        <f t="shared" si="0"/>
        <v>100%</v>
      </c>
      <c r="O15" s="98"/>
      <c r="P15" s="295"/>
      <c r="Q15" s="85"/>
      <c r="R15" s="84"/>
    </row>
    <row r="16" spans="2:18" s="81" customFormat="1" ht="90.75" thickBot="1" x14ac:dyDescent="0.25">
      <c r="B16" s="64">
        <v>5</v>
      </c>
      <c r="C16" s="65" t="s">
        <v>196</v>
      </c>
      <c r="D16" s="144" t="s">
        <v>115</v>
      </c>
      <c r="E16" s="101">
        <v>40057</v>
      </c>
      <c r="F16" s="101">
        <v>40178</v>
      </c>
      <c r="G16" s="102">
        <v>1</v>
      </c>
      <c r="H16" s="103" t="s">
        <v>10</v>
      </c>
      <c r="I16" s="65" t="s">
        <v>119</v>
      </c>
      <c r="J16" s="104">
        <v>627549328</v>
      </c>
      <c r="K16" s="104">
        <f>+J16*G16</f>
        <v>627549328</v>
      </c>
      <c r="L16" s="105">
        <f>K16/5150000</f>
        <v>121.85423844660194</v>
      </c>
      <c r="M16" s="105" t="str">
        <f>IF((F16-E16)&gt;120,"CUMPLE")</f>
        <v>CUMPLE</v>
      </c>
      <c r="N16" s="105" t="str">
        <f t="shared" ref="N16" si="1">IF(G16&gt;=30%,"100%")</f>
        <v>100%</v>
      </c>
      <c r="O16" s="105"/>
      <c r="P16" s="296"/>
      <c r="Q16" s="87"/>
      <c r="R16" s="88"/>
    </row>
    <row r="17" spans="2:17" ht="15.75" customHeight="1" x14ac:dyDescent="0.2">
      <c r="B17" s="111" t="s">
        <v>195</v>
      </c>
      <c r="C17" s="121"/>
      <c r="D17" s="121"/>
      <c r="E17" s="121"/>
      <c r="F17" s="121"/>
      <c r="G17" s="121"/>
      <c r="H17" s="26"/>
      <c r="I17" s="27"/>
    </row>
    <row r="18" spans="2:17" ht="15.75" customHeight="1" x14ac:dyDescent="0.2">
      <c r="B18" s="122" t="s">
        <v>194</v>
      </c>
      <c r="C18" s="122"/>
      <c r="D18" s="122"/>
      <c r="E18" s="122"/>
      <c r="F18" s="122"/>
      <c r="G18" s="122"/>
      <c r="H18" s="26"/>
      <c r="I18" s="26"/>
    </row>
    <row r="19" spans="2:17" ht="45.75" customHeight="1" thickBot="1" x14ac:dyDescent="0.25">
      <c r="B19" s="292" t="s">
        <v>148</v>
      </c>
      <c r="C19" s="292"/>
      <c r="D19" s="292"/>
      <c r="E19" s="292"/>
      <c r="F19" s="292"/>
      <c r="G19" s="292"/>
      <c r="H19" s="292"/>
      <c r="I19" s="292"/>
    </row>
    <row r="20" spans="2:17" s="3" customFormat="1" ht="21.75" customHeight="1" x14ac:dyDescent="0.2">
      <c r="B20" s="122" t="s">
        <v>54</v>
      </c>
      <c r="C20" s="122"/>
      <c r="D20" s="122"/>
      <c r="E20" s="122"/>
      <c r="F20" s="122"/>
      <c r="G20" s="122"/>
      <c r="H20" s="122"/>
      <c r="I20" s="123"/>
      <c r="J20" s="290" t="s">
        <v>33</v>
      </c>
      <c r="K20" s="291"/>
      <c r="L20" s="276">
        <f>SUM(K12:K15)</f>
        <v>9857419481</v>
      </c>
      <c r="M20" s="276"/>
      <c r="N20" s="276"/>
      <c r="O20" s="276"/>
      <c r="P20" s="277"/>
      <c r="Q20" s="37">
        <f>SUM(L12:L15)</f>
        <v>15076.511570840075</v>
      </c>
    </row>
    <row r="21" spans="2:17" ht="24.75" customHeight="1" x14ac:dyDescent="0.2">
      <c r="B21" s="287" t="s">
        <v>155</v>
      </c>
      <c r="C21" s="287"/>
      <c r="D21" s="287"/>
      <c r="E21" s="287"/>
      <c r="F21" s="287"/>
      <c r="G21" s="287"/>
      <c r="H21" s="287"/>
      <c r="I21" s="288"/>
      <c r="J21" s="278" t="s">
        <v>12</v>
      </c>
      <c r="K21" s="279"/>
      <c r="L21" s="279"/>
      <c r="M21" s="279"/>
      <c r="N21" s="279"/>
      <c r="O21" s="279"/>
      <c r="P21" s="279"/>
      <c r="Q21" s="280"/>
    </row>
    <row r="22" spans="2:17" ht="21.75" customHeight="1" x14ac:dyDescent="0.2">
      <c r="B22" s="122"/>
      <c r="C22" s="122"/>
      <c r="D22" s="122"/>
      <c r="E22" s="122"/>
      <c r="F22" s="122"/>
      <c r="G22" s="122"/>
      <c r="J22" s="38" t="s">
        <v>20</v>
      </c>
      <c r="K22" s="54"/>
      <c r="L22" s="281" t="s">
        <v>8</v>
      </c>
      <c r="M22" s="282"/>
      <c r="N22" s="282"/>
      <c r="O22" s="282"/>
      <c r="P22" s="282"/>
      <c r="Q22" s="283"/>
    </row>
    <row r="23" spans="2:17" ht="21.75" customHeight="1" x14ac:dyDescent="0.2">
      <c r="B23" s="108"/>
      <c r="C23" s="111"/>
      <c r="D23" s="111"/>
      <c r="E23" s="111"/>
      <c r="F23" s="111"/>
      <c r="G23" s="111"/>
      <c r="J23" s="38" t="s">
        <v>21</v>
      </c>
      <c r="K23" s="181" t="s">
        <v>184</v>
      </c>
      <c r="L23" s="281" t="s">
        <v>185</v>
      </c>
      <c r="M23" s="282"/>
      <c r="N23" s="282"/>
      <c r="O23" s="282"/>
      <c r="P23" s="282"/>
      <c r="Q23" s="283"/>
    </row>
    <row r="24" spans="2:17" ht="21.75" customHeight="1" thickBot="1" x14ac:dyDescent="0.25">
      <c r="B24" s="108" t="s">
        <v>198</v>
      </c>
      <c r="C24" s="111"/>
      <c r="D24" s="111"/>
      <c r="E24" s="111"/>
      <c r="F24" s="111"/>
      <c r="G24" s="111"/>
      <c r="J24" s="39" t="s">
        <v>149</v>
      </c>
      <c r="K24" s="55"/>
      <c r="L24" s="284" t="s">
        <v>8</v>
      </c>
      <c r="M24" s="285"/>
      <c r="N24" s="285"/>
      <c r="O24" s="285"/>
      <c r="P24" s="285"/>
      <c r="Q24" s="286"/>
    </row>
    <row r="25" spans="2:17" x14ac:dyDescent="0.2">
      <c r="B25" t="s">
        <v>42</v>
      </c>
    </row>
    <row r="26" spans="2:17" x14ac:dyDescent="0.2">
      <c r="C26" s="15" t="s">
        <v>45</v>
      </c>
    </row>
    <row r="27" spans="2:17" x14ac:dyDescent="0.2">
      <c r="C27" t="s">
        <v>197</v>
      </c>
      <c r="D27" s="44"/>
      <c r="E27" s="44">
        <f>D27/589500</f>
        <v>0</v>
      </c>
    </row>
    <row r="28" spans="2:17" x14ac:dyDescent="0.2">
      <c r="D28" s="44">
        <v>2715910520</v>
      </c>
      <c r="E28" s="44">
        <f>D28/589500</f>
        <v>4607.1425275657339</v>
      </c>
    </row>
  </sheetData>
  <mergeCells count="17">
    <mergeCell ref="L22:Q22"/>
    <mergeCell ref="L23:Q23"/>
    <mergeCell ref="L24:Q24"/>
    <mergeCell ref="P12:P16"/>
    <mergeCell ref="B9:R9"/>
    <mergeCell ref="B19:I19"/>
    <mergeCell ref="J20:K20"/>
    <mergeCell ref="L20:P20"/>
    <mergeCell ref="B21:I21"/>
    <mergeCell ref="J21:Q21"/>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8"/>
  <sheetViews>
    <sheetView showGridLines="0" view="pageBreakPreview" topLeftCell="A7" zoomScale="75" zoomScaleNormal="55" zoomScaleSheetLayoutView="75" zoomScalePageLayoutView="40" workbookViewId="0">
      <selection activeCell="L14" sqref="L14"/>
    </sheetView>
  </sheetViews>
  <sheetFormatPr baseColWidth="10" defaultColWidth="11.42578125" defaultRowHeight="12.75" x14ac:dyDescent="0.2"/>
  <cols>
    <col min="1" max="1" width="1.42578125" customWidth="1"/>
    <col min="2" max="2" width="6" customWidth="1"/>
    <col min="3" max="3" width="23.7109375" customWidth="1"/>
    <col min="4" max="4" width="35.7109375" customWidth="1"/>
    <col min="5" max="8" width="13.7109375" customWidth="1"/>
    <col min="9" max="9" width="15.7109375" customWidth="1"/>
    <col min="10" max="11" width="20.7109375" customWidth="1"/>
    <col min="12" max="12" width="14.7109375" customWidth="1"/>
    <col min="13" max="14" width="10.7109375" customWidth="1"/>
    <col min="15" max="17" width="11.7109375" customWidth="1"/>
    <col min="18" max="18" width="30.7109375" customWidth="1"/>
    <col min="19" max="19" width="1.42578125" customWidth="1"/>
  </cols>
  <sheetData>
    <row r="1" spans="2:18" ht="18.75" customHeight="1" x14ac:dyDescent="0.2">
      <c r="B1" s="298" t="s">
        <v>52</v>
      </c>
      <c r="C1" s="298"/>
      <c r="D1" s="298"/>
      <c r="E1" s="298"/>
      <c r="F1" s="298"/>
      <c r="G1" s="298"/>
      <c r="H1" s="298"/>
      <c r="I1" s="298"/>
      <c r="J1" s="298"/>
      <c r="K1" s="298"/>
      <c r="L1" s="298"/>
      <c r="M1" s="298"/>
      <c r="N1" s="298"/>
      <c r="O1" s="298"/>
      <c r="P1" s="298"/>
      <c r="Q1" s="298"/>
      <c r="R1" s="298"/>
    </row>
    <row r="2" spans="2:18" ht="59.25" customHeight="1" x14ac:dyDescent="0.2">
      <c r="B2" s="298" t="s">
        <v>53</v>
      </c>
      <c r="C2" s="298"/>
      <c r="D2" s="298"/>
      <c r="E2" s="298"/>
      <c r="F2" s="298"/>
      <c r="G2" s="298"/>
      <c r="H2" s="298"/>
      <c r="I2" s="298"/>
      <c r="J2" s="298"/>
      <c r="K2" s="298"/>
      <c r="L2" s="298"/>
      <c r="M2" s="298"/>
      <c r="N2" s="298"/>
      <c r="O2" s="298"/>
      <c r="P2" s="298"/>
      <c r="Q2" s="298"/>
      <c r="R2" s="298"/>
    </row>
    <row r="3" spans="2:18" ht="18.75" x14ac:dyDescent="0.2">
      <c r="B3" s="299" t="s">
        <v>11</v>
      </c>
      <c r="C3" s="299"/>
      <c r="D3" s="299"/>
      <c r="E3" s="299"/>
      <c r="F3" s="299"/>
      <c r="G3" s="299"/>
      <c r="H3" s="299"/>
      <c r="I3" s="299"/>
      <c r="J3" s="299"/>
      <c r="K3" s="299"/>
      <c r="L3" s="299"/>
      <c r="M3" s="299"/>
      <c r="N3" s="299"/>
      <c r="O3" s="299"/>
      <c r="P3" s="299"/>
      <c r="Q3" s="299"/>
      <c r="R3" s="299"/>
    </row>
    <row r="4" spans="2:18" ht="18.75" x14ac:dyDescent="0.2">
      <c r="B4" s="299" t="s">
        <v>0</v>
      </c>
      <c r="C4" s="299"/>
      <c r="D4" s="299"/>
      <c r="E4" s="299"/>
      <c r="F4" s="299"/>
      <c r="G4" s="299"/>
      <c r="H4" s="299"/>
      <c r="I4" s="299"/>
      <c r="J4" s="299"/>
      <c r="K4" s="299"/>
      <c r="L4" s="299"/>
      <c r="M4" s="299"/>
      <c r="N4" s="299"/>
      <c r="O4" s="299"/>
      <c r="P4" s="299"/>
      <c r="Q4" s="299"/>
      <c r="R4" s="299"/>
    </row>
    <row r="5" spans="2:18" ht="17.25" x14ac:dyDescent="0.3">
      <c r="B5" s="120"/>
      <c r="C5" s="120"/>
      <c r="D5" s="120"/>
      <c r="E5" s="120"/>
      <c r="F5" s="120"/>
      <c r="G5" s="120"/>
      <c r="H5" s="120"/>
      <c r="I5" s="120"/>
      <c r="J5" s="120"/>
      <c r="K5" s="120"/>
      <c r="L5" s="120"/>
      <c r="M5" s="120"/>
      <c r="N5" s="120"/>
      <c r="O5" s="120"/>
      <c r="R5" s="36">
        <v>589500</v>
      </c>
    </row>
    <row r="6" spans="2:18" ht="18.75" x14ac:dyDescent="0.2">
      <c r="B6" s="60" t="s">
        <v>9</v>
      </c>
      <c r="C6" s="60"/>
      <c r="D6" s="61" t="s">
        <v>123</v>
      </c>
      <c r="E6" s="59"/>
      <c r="F6" s="59"/>
      <c r="G6" s="59"/>
      <c r="H6" s="59"/>
      <c r="I6" s="31"/>
      <c r="J6" s="31"/>
      <c r="K6" s="31"/>
      <c r="L6" s="31"/>
      <c r="M6" s="31"/>
      <c r="N6" s="31"/>
      <c r="O6" s="31"/>
      <c r="P6" s="31"/>
    </row>
    <row r="7" spans="2:18" ht="18.75" x14ac:dyDescent="0.2">
      <c r="B7" s="297"/>
      <c r="C7" s="297"/>
      <c r="D7" s="297"/>
      <c r="E7" s="31"/>
      <c r="F7" s="31"/>
      <c r="G7" s="31"/>
      <c r="H7" s="31"/>
      <c r="I7" s="31"/>
      <c r="J7" s="31"/>
      <c r="K7" s="31"/>
      <c r="L7" s="301" t="s">
        <v>36</v>
      </c>
      <c r="M7" s="302"/>
      <c r="N7" s="302"/>
      <c r="O7" s="302"/>
      <c r="P7" s="303"/>
      <c r="Q7" s="300">
        <v>384914198</v>
      </c>
      <c r="R7" s="300"/>
    </row>
    <row r="8" spans="2:18" ht="15.75" x14ac:dyDescent="0.25">
      <c r="B8" s="56"/>
      <c r="C8" s="56"/>
      <c r="D8" s="56"/>
      <c r="E8" s="56"/>
      <c r="F8" s="56"/>
      <c r="G8" s="56"/>
      <c r="H8" s="56"/>
      <c r="I8" s="56"/>
      <c r="J8" s="56"/>
      <c r="K8" s="56"/>
      <c r="L8" s="304"/>
      <c r="M8" s="305"/>
      <c r="N8" s="305"/>
      <c r="O8" s="305"/>
      <c r="P8" s="306"/>
      <c r="Q8" s="35">
        <f>ROUND(Q7/R5,0)</f>
        <v>653</v>
      </c>
      <c r="R8" s="34" t="s">
        <v>37</v>
      </c>
    </row>
    <row r="9" spans="2:18" ht="15.75" x14ac:dyDescent="0.2">
      <c r="B9" s="289" t="s">
        <v>35</v>
      </c>
      <c r="C9" s="289"/>
      <c r="D9" s="289"/>
      <c r="E9" s="289"/>
      <c r="F9" s="289"/>
      <c r="G9" s="289"/>
      <c r="H9" s="289"/>
      <c r="I9" s="289"/>
      <c r="J9" s="289"/>
      <c r="K9" s="289"/>
      <c r="L9" s="289"/>
      <c r="M9" s="289"/>
      <c r="N9" s="289"/>
      <c r="O9" s="289"/>
      <c r="P9" s="289"/>
      <c r="Q9" s="289"/>
      <c r="R9" s="289"/>
    </row>
    <row r="10" spans="2:18" ht="16.5" thickBot="1" x14ac:dyDescent="0.25">
      <c r="B10" s="56"/>
      <c r="C10" s="56"/>
      <c r="D10" s="56"/>
      <c r="E10" s="56"/>
      <c r="F10" s="56"/>
      <c r="G10" s="56"/>
      <c r="H10" s="56"/>
      <c r="I10" s="56"/>
      <c r="J10" s="56"/>
      <c r="K10" s="56"/>
      <c r="L10" s="56"/>
      <c r="M10" s="56"/>
      <c r="N10" s="56"/>
      <c r="O10" s="56"/>
    </row>
    <row r="11" spans="2:18" ht="81" customHeight="1" thickBot="1" x14ac:dyDescent="0.25">
      <c r="B11" s="29"/>
      <c r="C11" s="30" t="s">
        <v>27</v>
      </c>
      <c r="D11" s="30" t="s">
        <v>1</v>
      </c>
      <c r="E11" s="30" t="s">
        <v>2</v>
      </c>
      <c r="F11" s="30" t="s">
        <v>3</v>
      </c>
      <c r="G11" s="30" t="s">
        <v>153</v>
      </c>
      <c r="H11" s="30" t="s">
        <v>4</v>
      </c>
      <c r="I11" s="30" t="s">
        <v>5</v>
      </c>
      <c r="J11" s="30" t="s">
        <v>6</v>
      </c>
      <c r="K11" s="30" t="s">
        <v>44</v>
      </c>
      <c r="L11" s="30" t="s">
        <v>7</v>
      </c>
      <c r="M11" s="30" t="s">
        <v>152</v>
      </c>
      <c r="N11" s="30" t="s">
        <v>156</v>
      </c>
      <c r="O11" s="30" t="s">
        <v>20</v>
      </c>
      <c r="P11" s="30" t="s">
        <v>21</v>
      </c>
      <c r="Q11" s="30" t="s">
        <v>149</v>
      </c>
      <c r="R11" s="136" t="s">
        <v>38</v>
      </c>
    </row>
    <row r="12" spans="2:18" s="81" customFormat="1" ht="57.75" customHeight="1" x14ac:dyDescent="0.2">
      <c r="B12" s="62">
        <v>1</v>
      </c>
      <c r="C12" s="52" t="s">
        <v>140</v>
      </c>
      <c r="D12" s="117" t="s">
        <v>125</v>
      </c>
      <c r="E12" s="89">
        <v>38903</v>
      </c>
      <c r="F12" s="89">
        <v>39083</v>
      </c>
      <c r="G12" s="90">
        <v>1</v>
      </c>
      <c r="H12" s="90" t="s">
        <v>129</v>
      </c>
      <c r="I12" s="52" t="s">
        <v>130</v>
      </c>
      <c r="J12" s="91">
        <f>(113289*1.2728)*2579.08</f>
        <v>371888478.43593591</v>
      </c>
      <c r="K12" s="91">
        <f>+J12*N12</f>
        <v>371888478.43593591</v>
      </c>
      <c r="L12" s="92">
        <f>K12/408000</f>
        <v>911.49136871552923</v>
      </c>
      <c r="M12" s="92" t="str">
        <f>IF((F12-E12)&gt;120,"CUMPLE")</f>
        <v>CUMPLE</v>
      </c>
      <c r="N12" s="92" t="str">
        <f>IF(G12&gt;=30%,"100%")</f>
        <v>100%</v>
      </c>
      <c r="O12" s="93" t="s">
        <v>151</v>
      </c>
      <c r="P12" s="79">
        <f>+L12</f>
        <v>911.49136871552923</v>
      </c>
      <c r="Q12" s="308">
        <f>+L12+L14</f>
        <v>2065.3914462326275</v>
      </c>
      <c r="R12" s="149" t="s">
        <v>168</v>
      </c>
    </row>
    <row r="13" spans="2:18" s="81" customFormat="1" ht="57" customHeight="1" x14ac:dyDescent="0.2">
      <c r="B13" s="63">
        <v>2</v>
      </c>
      <c r="C13" s="53" t="s">
        <v>140</v>
      </c>
      <c r="D13" s="77" t="s">
        <v>126</v>
      </c>
      <c r="E13" s="94">
        <v>37978</v>
      </c>
      <c r="F13" s="94">
        <v>38338</v>
      </c>
      <c r="G13" s="95">
        <v>0.5</v>
      </c>
      <c r="H13" s="96" t="s">
        <v>129</v>
      </c>
      <c r="I13" s="53" t="s">
        <v>130</v>
      </c>
      <c r="J13" s="97">
        <f>+(422843.87*1.2405)*2809.09</f>
        <v>1473473946.8484812</v>
      </c>
      <c r="K13" s="97">
        <f>+J13*N13</f>
        <v>1473473946.8484812</v>
      </c>
      <c r="L13" s="98">
        <f>K13/332000</f>
        <v>4438.1745387002447</v>
      </c>
      <c r="M13" s="98" t="str">
        <f>IF((F13-E13)&gt;120,"CUMPLE")</f>
        <v>CUMPLE</v>
      </c>
      <c r="N13" s="98" t="str">
        <f t="shared" ref="N13:N15" si="0">IF(G13&gt;=30%,"100%")</f>
        <v>100%</v>
      </c>
      <c r="O13" s="99"/>
      <c r="P13" s="83"/>
      <c r="Q13" s="293"/>
      <c r="R13" s="150" t="s">
        <v>168</v>
      </c>
    </row>
    <row r="14" spans="2:18" s="81" customFormat="1" ht="62.25" customHeight="1" x14ac:dyDescent="0.2">
      <c r="B14" s="63">
        <v>3</v>
      </c>
      <c r="C14" s="53" t="s">
        <v>124</v>
      </c>
      <c r="D14" s="77" t="s">
        <v>127</v>
      </c>
      <c r="E14" s="94">
        <v>36146</v>
      </c>
      <c r="F14" s="94">
        <v>36328</v>
      </c>
      <c r="G14" s="95">
        <v>0.4</v>
      </c>
      <c r="H14" s="96" t="s">
        <v>10</v>
      </c>
      <c r="I14" s="53" t="s">
        <v>131</v>
      </c>
      <c r="J14" s="97">
        <v>587987093</v>
      </c>
      <c r="K14" s="97">
        <f>+J14*G14</f>
        <v>235194837.20000002</v>
      </c>
      <c r="L14" s="98">
        <f>K14/203826</f>
        <v>1153.900077517098</v>
      </c>
      <c r="M14" s="98" t="str">
        <f>IF((F14-E14)&gt;120,"CUMPLE")</f>
        <v>CUMPLE</v>
      </c>
      <c r="N14" s="98" t="str">
        <f t="shared" si="0"/>
        <v>100%</v>
      </c>
      <c r="O14" s="176" t="s">
        <v>151</v>
      </c>
      <c r="P14" s="85"/>
      <c r="Q14" s="85"/>
      <c r="R14" s="118"/>
    </row>
    <row r="15" spans="2:18" s="81" customFormat="1" ht="57" customHeight="1" thickBot="1" x14ac:dyDescent="0.25">
      <c r="B15" s="64">
        <v>4</v>
      </c>
      <c r="C15" s="65" t="s">
        <v>124</v>
      </c>
      <c r="D15" s="86" t="s">
        <v>128</v>
      </c>
      <c r="E15" s="101">
        <v>37330</v>
      </c>
      <c r="F15" s="101">
        <v>37544</v>
      </c>
      <c r="G15" s="102">
        <v>0.5</v>
      </c>
      <c r="H15" s="103" t="s">
        <v>10</v>
      </c>
      <c r="I15" s="65" t="s">
        <v>131</v>
      </c>
      <c r="J15" s="104">
        <v>505092746</v>
      </c>
      <c r="K15" s="104">
        <f>+J15*G15</f>
        <v>252546373</v>
      </c>
      <c r="L15" s="105">
        <f>+K15/309000</f>
        <v>817.30217799352749</v>
      </c>
      <c r="M15" s="105" t="str">
        <f>IF((F15-E15)&gt;120,"CUMPLE")</f>
        <v>CUMPLE</v>
      </c>
      <c r="N15" s="105" t="str">
        <f t="shared" si="0"/>
        <v>100%</v>
      </c>
      <c r="O15" s="106"/>
      <c r="P15" s="87"/>
      <c r="Q15" s="87"/>
      <c r="R15" s="119" t="s">
        <v>169</v>
      </c>
    </row>
    <row r="16" spans="2:18" ht="15.75" customHeight="1" x14ac:dyDescent="0.2">
      <c r="B16" s="121"/>
      <c r="C16" s="121"/>
      <c r="D16" s="121"/>
      <c r="E16" s="121"/>
      <c r="F16" s="121"/>
      <c r="G16" s="121"/>
      <c r="H16" s="26"/>
      <c r="I16" s="27"/>
    </row>
    <row r="17" spans="2:17" ht="15.75" customHeight="1" x14ac:dyDescent="0.2">
      <c r="B17" s="122" t="s">
        <v>195</v>
      </c>
      <c r="C17" s="122"/>
      <c r="D17" s="122"/>
      <c r="E17" s="122"/>
      <c r="F17" s="122"/>
      <c r="G17" s="122"/>
      <c r="H17" s="26"/>
      <c r="I17" s="26"/>
    </row>
    <row r="18" spans="2:17" ht="45.75" customHeight="1" thickBot="1" x14ac:dyDescent="0.25">
      <c r="B18" s="287" t="s">
        <v>194</v>
      </c>
      <c r="C18" s="292"/>
      <c r="D18" s="292"/>
      <c r="E18" s="292"/>
      <c r="F18" s="292"/>
      <c r="G18" s="292"/>
      <c r="H18" s="292"/>
      <c r="I18" s="292"/>
    </row>
    <row r="19" spans="2:17" s="3" customFormat="1" ht="21.75" customHeight="1" x14ac:dyDescent="0.2">
      <c r="B19" s="122" t="s">
        <v>54</v>
      </c>
      <c r="C19" s="122"/>
      <c r="D19" s="122"/>
      <c r="E19" s="122"/>
      <c r="F19" s="122"/>
      <c r="G19" s="122"/>
      <c r="H19" s="122"/>
      <c r="I19" s="123"/>
      <c r="J19" s="290" t="s">
        <v>33</v>
      </c>
      <c r="K19" s="291"/>
      <c r="L19" s="276">
        <f>SUM(K12:K15)</f>
        <v>2333103635.484417</v>
      </c>
      <c r="M19" s="276"/>
      <c r="N19" s="276"/>
      <c r="O19" s="276"/>
      <c r="P19" s="277"/>
      <c r="Q19" s="37">
        <f>SUM(L12:L15)</f>
        <v>7320.8681629263992</v>
      </c>
    </row>
    <row r="20" spans="2:17" ht="24.75" customHeight="1" x14ac:dyDescent="0.2">
      <c r="B20" s="287" t="s">
        <v>155</v>
      </c>
      <c r="C20" s="287"/>
      <c r="D20" s="287"/>
      <c r="E20" s="287"/>
      <c r="F20" s="287"/>
      <c r="G20" s="287"/>
      <c r="H20" s="287"/>
      <c r="I20" s="288"/>
      <c r="J20" s="278" t="s">
        <v>12</v>
      </c>
      <c r="K20" s="279"/>
      <c r="L20" s="279"/>
      <c r="M20" s="279"/>
      <c r="N20" s="279"/>
      <c r="O20" s="279"/>
      <c r="P20" s="279"/>
      <c r="Q20" s="280"/>
    </row>
    <row r="21" spans="2:17" ht="21.75" customHeight="1" x14ac:dyDescent="0.2">
      <c r="B21" s="122"/>
      <c r="C21" s="122"/>
      <c r="D21" s="122"/>
      <c r="E21" s="122"/>
      <c r="F21" s="122"/>
      <c r="G21" s="122"/>
      <c r="J21" s="38" t="s">
        <v>20</v>
      </c>
      <c r="K21" s="54"/>
      <c r="L21" s="281" t="s">
        <v>8</v>
      </c>
      <c r="M21" s="282"/>
      <c r="N21" s="282"/>
      <c r="O21" s="282"/>
      <c r="P21" s="282"/>
      <c r="Q21" s="283"/>
    </row>
    <row r="22" spans="2:17" ht="21.75" customHeight="1" x14ac:dyDescent="0.2">
      <c r="B22" s="111" t="s">
        <v>141</v>
      </c>
      <c r="C22" s="111"/>
      <c r="E22" s="111"/>
      <c r="F22" s="111"/>
      <c r="G22" s="111"/>
      <c r="J22" s="38" t="s">
        <v>21</v>
      </c>
      <c r="K22" s="54"/>
      <c r="L22" s="281" t="s">
        <v>8</v>
      </c>
      <c r="M22" s="282"/>
      <c r="N22" s="282"/>
      <c r="O22" s="282"/>
      <c r="P22" s="282"/>
      <c r="Q22" s="283"/>
    </row>
    <row r="23" spans="2:17" ht="21.75" customHeight="1" thickBot="1" x14ac:dyDescent="0.25">
      <c r="B23" s="108" t="s">
        <v>142</v>
      </c>
      <c r="C23" s="111"/>
      <c r="D23" s="111"/>
      <c r="E23" s="111"/>
      <c r="F23" s="111"/>
      <c r="G23" s="111"/>
      <c r="J23" s="39" t="s">
        <v>149</v>
      </c>
      <c r="K23" s="55"/>
      <c r="L23" s="284" t="s">
        <v>8</v>
      </c>
      <c r="M23" s="285"/>
      <c r="N23" s="285"/>
      <c r="O23" s="285"/>
      <c r="P23" s="285"/>
      <c r="Q23" s="286"/>
    </row>
    <row r="24" spans="2:17" s="146" customFormat="1" ht="21.75" customHeight="1" x14ac:dyDescent="0.2">
      <c r="B24" s="145" t="s">
        <v>198</v>
      </c>
      <c r="C24" s="145"/>
      <c r="D24" s="145"/>
      <c r="E24" s="145"/>
      <c r="F24" s="145"/>
      <c r="G24" s="145"/>
      <c r="J24" s="147"/>
      <c r="K24" s="147"/>
      <c r="L24" s="148"/>
      <c r="M24" s="148"/>
      <c r="N24" s="148"/>
      <c r="O24" s="148"/>
      <c r="P24" s="148"/>
      <c r="Q24" s="148"/>
    </row>
    <row r="25" spans="2:17" x14ac:dyDescent="0.2">
      <c r="B25" t="s">
        <v>42</v>
      </c>
    </row>
    <row r="26" spans="2:17" x14ac:dyDescent="0.2">
      <c r="C26" s="15" t="s">
        <v>45</v>
      </c>
    </row>
    <row r="27" spans="2:17" x14ac:dyDescent="0.2">
      <c r="C27" t="s">
        <v>197</v>
      </c>
      <c r="D27" s="44"/>
      <c r="E27" s="44">
        <f>D27/589500</f>
        <v>0</v>
      </c>
    </row>
    <row r="28" spans="2:17" x14ac:dyDescent="0.2">
      <c r="D28" s="44">
        <v>2715910520</v>
      </c>
      <c r="E28" s="44">
        <f>D28/589500</f>
        <v>4607.1425275657339</v>
      </c>
      <c r="I28" s="111"/>
    </row>
  </sheetData>
  <mergeCells count="17">
    <mergeCell ref="L21:Q21"/>
    <mergeCell ref="L22:Q22"/>
    <mergeCell ref="L23:Q23"/>
    <mergeCell ref="Q12:Q13"/>
    <mergeCell ref="B9:R9"/>
    <mergeCell ref="B18:I18"/>
    <mergeCell ref="J19:K19"/>
    <mergeCell ref="L19:P19"/>
    <mergeCell ref="B20:I20"/>
    <mergeCell ref="J20:Q20"/>
    <mergeCell ref="B1:R1"/>
    <mergeCell ref="B2:R2"/>
    <mergeCell ref="B3:R3"/>
    <mergeCell ref="B4:R4"/>
    <mergeCell ref="B7:D7"/>
    <mergeCell ref="L7:P8"/>
    <mergeCell ref="Q7:R7"/>
  </mergeCells>
  <pageMargins left="0.27559055118110237" right="0.23622047244094491" top="0.51181102362204722" bottom="0.74803149606299213" header="0.31496062992125984" footer="0.31496062992125984"/>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21</vt:i4>
      </vt:variant>
    </vt:vector>
  </HeadingPairs>
  <TitlesOfParts>
    <vt:vector size="42" baseType="lpstr">
      <vt:lpstr>Exp. Gen (1)</vt:lpstr>
      <vt:lpstr>Exp. Gen (2)</vt:lpstr>
      <vt:lpstr>Exp. Gen (3)</vt:lpstr>
      <vt:lpstr>Exp. Gen (4)</vt:lpstr>
      <vt:lpstr>Exp. Gen (5)</vt:lpstr>
      <vt:lpstr>Exp. Gen (6)</vt:lpstr>
      <vt:lpstr>Exp. Gen (7)</vt:lpstr>
      <vt:lpstr>Exp. Gen (8)</vt:lpstr>
      <vt:lpstr>Exp. Gen (9)</vt:lpstr>
      <vt:lpstr>Resumen Exp. Gen</vt:lpstr>
      <vt:lpstr>Exp. Especif(1)</vt:lpstr>
      <vt:lpstr>Exp. Especif(2)</vt:lpstr>
      <vt:lpstr>Exp. Especif(3)</vt:lpstr>
      <vt:lpstr>Exp. Especif(4)</vt:lpstr>
      <vt:lpstr>Exp. Especif(5)</vt:lpstr>
      <vt:lpstr>Exp. Especif(6)</vt:lpstr>
      <vt:lpstr>Exp. Especif(7)</vt:lpstr>
      <vt:lpstr>Exp. Especif(8)</vt:lpstr>
      <vt:lpstr>Exp. Especif(9)</vt:lpstr>
      <vt:lpstr>Resumen Exp. Especifica</vt:lpstr>
      <vt:lpstr>CONSOLIDADO</vt:lpstr>
      <vt:lpstr>CONSOLIDADO!Área_de_impresión</vt:lpstr>
      <vt:lpstr>'Exp. Especif(1)'!Área_de_impresión</vt:lpstr>
      <vt:lpstr>'Exp. Especif(2)'!Área_de_impresión</vt:lpstr>
      <vt:lpstr>'Exp. Especif(3)'!Área_de_impresión</vt:lpstr>
      <vt:lpstr>'Exp. Especif(4)'!Área_de_impresión</vt:lpstr>
      <vt:lpstr>'Exp. Especif(5)'!Área_de_impresión</vt:lpstr>
      <vt:lpstr>'Exp. Especif(6)'!Área_de_impresión</vt:lpstr>
      <vt:lpstr>'Exp. Especif(7)'!Área_de_impresión</vt:lpstr>
      <vt:lpstr>'Exp. Especif(8)'!Área_de_impresión</vt:lpstr>
      <vt:lpstr>'Exp. Especif(9)'!Área_de_impresión</vt:lpstr>
      <vt:lpstr>'Exp. Gen (1)'!Área_de_impresión</vt:lpstr>
      <vt:lpstr>'Exp. Gen (2)'!Área_de_impresión</vt:lpstr>
      <vt:lpstr>'Exp. Gen (3)'!Área_de_impresión</vt:lpstr>
      <vt:lpstr>'Exp. Gen (4)'!Área_de_impresión</vt:lpstr>
      <vt:lpstr>'Exp. Gen (5)'!Área_de_impresión</vt:lpstr>
      <vt:lpstr>'Exp. Gen (6)'!Área_de_impresión</vt:lpstr>
      <vt:lpstr>'Exp. Gen (7)'!Área_de_impresión</vt:lpstr>
      <vt:lpstr>'Exp. Gen (8)'!Área_de_impresión</vt:lpstr>
      <vt:lpstr>'Exp. Gen (9)'!Área_de_impresión</vt:lpstr>
      <vt:lpstr>'Resumen Exp. Especifica'!Área_de_impresión</vt:lpstr>
      <vt:lpstr>'Resumen Exp. Gen'!Área_de_impresión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casa</dc:creator>
  <cp:lastModifiedBy>Gabriel Eduado Del Toro Benavides</cp:lastModifiedBy>
  <cp:lastPrinted>2013-07-11T15:35:07Z</cp:lastPrinted>
  <dcterms:created xsi:type="dcterms:W3CDTF">2013-04-28T22:46:59Z</dcterms:created>
  <dcterms:modified xsi:type="dcterms:W3CDTF">2013-07-22T23:28:35Z</dcterms:modified>
</cp:coreProperties>
</file>