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aguilera\Documents\Plan de Acción\2019\seguimiento\Septiembre\CONSOLIDADO\"/>
    </mc:Choice>
  </mc:AlternateContent>
  <xr:revisionPtr revIDLastSave="0" documentId="13_ncr:1_{41B1D409-3FEA-4DE1-ACBE-B18EF8BE4EBE}" xr6:coauthVersionLast="41" xr6:coauthVersionMax="41" xr10:uidLastSave="{00000000-0000-0000-0000-000000000000}"/>
  <bookViews>
    <workbookView xWindow="-120" yWindow="-120" windowWidth="29040" windowHeight="15840" xr2:uid="{00000000-000D-0000-FFFF-FFFF00000000}"/>
  </bookViews>
  <sheets>
    <sheet name="Tablero" sheetId="21" r:id="rId1"/>
    <sheet name="gráficas" sheetId="22" state="hidden" r:id="rId2"/>
    <sheet name="VGC" sheetId="11" state="hidden" r:id="rId3"/>
    <sheet name="Ejecutiva" sheetId="12" state="hidden" r:id="rId4"/>
    <sheet name="Estructuración" sheetId="14" state="hidden" r:id="rId5"/>
    <sheet name="VAF" sheetId="13" state="hidden" r:id="rId6"/>
    <sheet name="VPRE" sheetId="15" state="hidden" r:id="rId7"/>
    <sheet name="Comunicaciones" sheetId="16" state="hidden" r:id="rId8"/>
    <sheet name="Ejecutiva resumen" sheetId="18" state="hidden" r:id="rId9"/>
    <sheet name="vgc resumen" sheetId="17" state="hidden" r:id="rId10"/>
    <sheet name="Esquema" sheetId="19" state="hidden" r:id="rId11"/>
    <sheet name="Vgc previo" sheetId="20" state="hidden" r:id="rId12"/>
  </sheets>
  <externalReferences>
    <externalReference r:id="rId13"/>
  </externalReferences>
  <definedNames>
    <definedName name="_xlnm._FilterDatabase" localSheetId="0" hidden="1">Tablero!$B$28:$AF$52</definedName>
    <definedName name="_xlnm.Print_Area" localSheetId="1">gráficas!$A$1:$M$49</definedName>
    <definedName name="_xlnm.Print_Titles" localSheetId="0">Tablero!#REF!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1" i="12" l="1"/>
  <c r="AB11" i="12"/>
  <c r="AC18" i="11" l="1"/>
  <c r="AB18" i="11"/>
  <c r="AA18" i="11"/>
  <c r="AC17" i="11"/>
  <c r="AB17" i="11"/>
  <c r="AA17" i="11"/>
  <c r="AC16" i="11"/>
  <c r="AB16" i="11"/>
  <c r="AA16" i="11"/>
  <c r="AC15" i="11"/>
  <c r="AB15" i="11"/>
  <c r="AA15" i="11"/>
  <c r="AC14" i="11"/>
  <c r="AB14" i="11"/>
  <c r="AA14" i="11"/>
  <c r="AC13" i="11"/>
  <c r="AB13" i="11"/>
  <c r="AA13" i="11"/>
  <c r="AC11" i="11"/>
  <c r="AB11" i="11"/>
  <c r="AA11" i="11"/>
  <c r="AC12" i="11"/>
  <c r="AB12" i="11"/>
  <c r="AA12" i="11"/>
  <c r="AC19" i="11"/>
  <c r="AB19" i="11"/>
  <c r="AD21" i="11"/>
  <c r="AC21" i="11"/>
  <c r="AB21" i="11"/>
  <c r="AC20" i="11"/>
  <c r="AB20" i="11"/>
  <c r="AD20" i="11" s="1"/>
  <c r="AD28" i="11"/>
  <c r="AC28" i="11"/>
  <c r="AB28" i="11"/>
  <c r="AC27" i="11"/>
  <c r="AB27" i="11"/>
  <c r="AD27" i="11" s="1"/>
  <c r="AC26" i="11"/>
  <c r="AD26" i="11" s="1"/>
  <c r="AB26" i="11"/>
  <c r="AD25" i="11"/>
  <c r="AC25" i="11"/>
  <c r="AB25" i="11"/>
  <c r="AC24" i="11"/>
  <c r="AB24" i="11"/>
  <c r="AD24" i="11" s="1"/>
  <c r="AD23" i="11"/>
  <c r="AC23" i="11"/>
  <c r="AB23" i="11"/>
  <c r="AA23" i="11"/>
  <c r="AB22" i="11"/>
  <c r="AC22" i="11"/>
  <c r="J27" i="11"/>
  <c r="AC9" i="11" l="1"/>
  <c r="AB9" i="11"/>
  <c r="AC8" i="11"/>
  <c r="AB8" i="11"/>
  <c r="AC7" i="11"/>
  <c r="AB7" i="11"/>
  <c r="AB10" i="12" l="1"/>
  <c r="AC15" i="12"/>
  <c r="AC10" i="12" s="1"/>
  <c r="AD10" i="12" s="1"/>
  <c r="AE10" i="12" s="1"/>
  <c r="AB15" i="12"/>
  <c r="AC14" i="12"/>
  <c r="AB14" i="12"/>
  <c r="AC13" i="12"/>
  <c r="AB13" i="12"/>
  <c r="AC12" i="12"/>
  <c r="AB12" i="12"/>
  <c r="AA19" i="11" l="1"/>
  <c r="AC10" i="11" l="1"/>
  <c r="AB10" i="11"/>
  <c r="R15" i="12" l="1"/>
  <c r="R11" i="12"/>
  <c r="Z29" i="21" l="1"/>
  <c r="Z30" i="21"/>
  <c r="Z31" i="21"/>
  <c r="Z32" i="21"/>
  <c r="Z33" i="21"/>
  <c r="Z34" i="21"/>
  <c r="Z35" i="21"/>
  <c r="Z36" i="21"/>
  <c r="Z37" i="21"/>
  <c r="Z38" i="21"/>
  <c r="Z40" i="21"/>
  <c r="Z42" i="21"/>
  <c r="Z43" i="21"/>
  <c r="Z44" i="21"/>
  <c r="Z45" i="21"/>
  <c r="Z46" i="21"/>
  <c r="Z47" i="21"/>
  <c r="Z49" i="21"/>
  <c r="Z51" i="21"/>
  <c r="Z52" i="21"/>
  <c r="AD44" i="21" l="1"/>
  <c r="AA44" i="21"/>
  <c r="AC31" i="11" l="1"/>
  <c r="AD31" i="11" s="1"/>
  <c r="AE31" i="11" s="1"/>
  <c r="AA31" i="11"/>
  <c r="C27" i="22" l="1"/>
  <c r="C26" i="22"/>
  <c r="C25" i="22"/>
  <c r="C38" i="22"/>
  <c r="C39" i="22"/>
  <c r="C40" i="22"/>
  <c r="C41" i="22"/>
  <c r="C42" i="22"/>
  <c r="C28" i="22" l="1"/>
  <c r="AD52" i="21" l="1"/>
  <c r="P52" i="21" s="1"/>
  <c r="Q52" i="21" s="1"/>
  <c r="AD51" i="21"/>
  <c r="P51" i="21" s="1"/>
  <c r="Q51" i="21" s="1"/>
  <c r="R51" i="21"/>
  <c r="S51" i="21" s="1"/>
  <c r="AD50" i="21"/>
  <c r="P50" i="21" s="1"/>
  <c r="Q50" i="21" s="1"/>
  <c r="R50" i="21"/>
  <c r="S50" i="21" s="1"/>
  <c r="AD49" i="21"/>
  <c r="P49" i="21" s="1"/>
  <c r="Q49" i="21" s="1"/>
  <c r="R49" i="21"/>
  <c r="S49" i="21" s="1"/>
  <c r="AD48" i="21"/>
  <c r="P48" i="21" s="1"/>
  <c r="Q48" i="21" s="1"/>
  <c r="R48" i="21"/>
  <c r="S48" i="21" s="1"/>
  <c r="AD47" i="21"/>
  <c r="P47" i="21" s="1"/>
  <c r="Q47" i="21" s="1"/>
  <c r="R47" i="21"/>
  <c r="S47" i="21" s="1"/>
  <c r="AD46" i="21"/>
  <c r="P46" i="21" s="1"/>
  <c r="Q46" i="21" s="1"/>
  <c r="R46" i="21"/>
  <c r="S46" i="21" s="1"/>
  <c r="AD45" i="21"/>
  <c r="P45" i="21" s="1"/>
  <c r="Q45" i="21" s="1"/>
  <c r="R45" i="21"/>
  <c r="S45" i="21" s="1"/>
  <c r="P44" i="21"/>
  <c r="Q44" i="21" s="1"/>
  <c r="R44" i="21"/>
  <c r="AD43" i="21"/>
  <c r="P43" i="21" s="1"/>
  <c r="Q43" i="21" s="1"/>
  <c r="R43" i="21"/>
  <c r="S43" i="21" s="1"/>
  <c r="AD42" i="21"/>
  <c r="P42" i="21" s="1"/>
  <c r="Q42" i="21" s="1"/>
  <c r="R42" i="21"/>
  <c r="S42" i="21" s="1"/>
  <c r="AD41" i="21"/>
  <c r="P41" i="21" s="1"/>
  <c r="Q41" i="21" s="1"/>
  <c r="R41" i="21"/>
  <c r="S41" i="21" s="1"/>
  <c r="AD40" i="21"/>
  <c r="P40" i="21" s="1"/>
  <c r="Q40" i="21" s="1"/>
  <c r="R40" i="21"/>
  <c r="AD39" i="21"/>
  <c r="P39" i="21" s="1"/>
  <c r="Q39" i="21" s="1"/>
  <c r="R39" i="21"/>
  <c r="S39" i="21" s="1"/>
  <c r="AD38" i="21"/>
  <c r="P38" i="21" s="1"/>
  <c r="Q38" i="21" s="1"/>
  <c r="R38" i="21"/>
  <c r="S38" i="21" s="1"/>
  <c r="AD37" i="21"/>
  <c r="P37" i="21" s="1"/>
  <c r="Q37" i="21" s="1"/>
  <c r="R37" i="21"/>
  <c r="S37" i="21" s="1"/>
  <c r="AD36" i="21"/>
  <c r="P36" i="21" s="1"/>
  <c r="Q36" i="21" s="1"/>
  <c r="R36" i="21"/>
  <c r="S36" i="21" s="1"/>
  <c r="AD35" i="21"/>
  <c r="P35" i="21" s="1"/>
  <c r="R35" i="21"/>
  <c r="S35" i="21" s="1"/>
  <c r="AD34" i="21"/>
  <c r="P34" i="21" s="1"/>
  <c r="Q34" i="21" s="1"/>
  <c r="R34" i="21"/>
  <c r="S34" i="21" s="1"/>
  <c r="AD33" i="21"/>
  <c r="P33" i="21" s="1"/>
  <c r="Q33" i="21" s="1"/>
  <c r="R33" i="21"/>
  <c r="S33" i="21" s="1"/>
  <c r="AD32" i="21"/>
  <c r="P32" i="21" s="1"/>
  <c r="Q32" i="21" s="1"/>
  <c r="R32" i="21"/>
  <c r="AD31" i="21"/>
  <c r="P31" i="21" s="1"/>
  <c r="Q31" i="21" s="1"/>
  <c r="R31" i="21"/>
  <c r="S31" i="21" s="1"/>
  <c r="AD30" i="21"/>
  <c r="P30" i="21" s="1"/>
  <c r="R30" i="21"/>
  <c r="S30" i="21" s="1"/>
  <c r="AD29" i="21"/>
  <c r="P29" i="21" s="1"/>
  <c r="Q29" i="21" s="1"/>
  <c r="R29" i="21"/>
  <c r="S29" i="21" s="1"/>
  <c r="M32" i="20"/>
  <c r="M31" i="20"/>
  <c r="M30" i="20"/>
  <c r="M29" i="20"/>
  <c r="M28" i="20"/>
  <c r="M27" i="20"/>
  <c r="M26" i="20"/>
  <c r="M25" i="20"/>
  <c r="M24" i="20"/>
  <c r="L30" i="20"/>
  <c r="L28" i="20"/>
  <c r="M18" i="20"/>
  <c r="M17" i="20"/>
  <c r="M16" i="20"/>
  <c r="M15" i="20"/>
  <c r="M14" i="20"/>
  <c r="M13" i="20"/>
  <c r="M12" i="20"/>
  <c r="M11" i="20"/>
  <c r="M10" i="20"/>
  <c r="L17" i="20"/>
  <c r="L14" i="20"/>
  <c r="L10" i="20"/>
  <c r="D6" i="20"/>
  <c r="F6" i="20" s="1"/>
  <c r="Q22" i="18"/>
  <c r="P22" i="18"/>
  <c r="H8" i="18"/>
  <c r="G8" i="18"/>
  <c r="H6" i="18"/>
  <c r="G6" i="18"/>
  <c r="Q41" i="17"/>
  <c r="P41" i="17"/>
  <c r="Q40" i="17"/>
  <c r="P40" i="17"/>
  <c r="Q39" i="17"/>
  <c r="P39" i="17"/>
  <c r="Q37" i="17"/>
  <c r="Q36" i="17"/>
  <c r="P36" i="17"/>
  <c r="Q35" i="17"/>
  <c r="Q33" i="17"/>
  <c r="P33" i="17"/>
  <c r="Q32" i="17"/>
  <c r="P32" i="17"/>
  <c r="Q31" i="17"/>
  <c r="Q25" i="17"/>
  <c r="Q24" i="17"/>
  <c r="Q22" i="17"/>
  <c r="Q21" i="17"/>
  <c r="P21" i="17"/>
  <c r="Q20" i="17"/>
  <c r="P20" i="17"/>
  <c r="Q18" i="17"/>
  <c r="P18" i="17"/>
  <c r="Q17" i="17"/>
  <c r="Q16" i="17"/>
  <c r="P16" i="17"/>
  <c r="Q15" i="17"/>
  <c r="P15" i="17"/>
  <c r="H12" i="17"/>
  <c r="G12" i="17"/>
  <c r="H11" i="17"/>
  <c r="G11" i="17"/>
  <c r="Q8" i="17"/>
  <c r="P8" i="17"/>
  <c r="H7" i="17"/>
  <c r="G7" i="17"/>
  <c r="F11" i="13"/>
  <c r="F10" i="13"/>
  <c r="E16" i="13"/>
  <c r="F16" i="13" s="1"/>
  <c r="E15" i="13"/>
  <c r="F15" i="13" s="1"/>
  <c r="E14" i="13"/>
  <c r="F14" i="13" s="1"/>
  <c r="E13" i="13"/>
  <c r="F13" i="13" s="1"/>
  <c r="E12" i="13"/>
  <c r="F12" i="13" s="1"/>
  <c r="E11" i="13"/>
  <c r="E10" i="13"/>
  <c r="E9" i="13"/>
  <c r="F9" i="13" s="1"/>
  <c r="E8" i="13"/>
  <c r="F8" i="13" s="1"/>
  <c r="E7" i="13"/>
  <c r="F7" i="13" s="1"/>
  <c r="E6" i="13"/>
  <c r="F6" i="13" s="1"/>
  <c r="L8" i="15"/>
  <c r="L11" i="15"/>
  <c r="AB7" i="12"/>
  <c r="AD7" i="12" s="1"/>
  <c r="AE7" i="12" s="1"/>
  <c r="AD14" i="12"/>
  <c r="AE14" i="12" s="1"/>
  <c r="AD13" i="12"/>
  <c r="AE13" i="12" s="1"/>
  <c r="AD12" i="12"/>
  <c r="AE12" i="12" s="1"/>
  <c r="AD11" i="12"/>
  <c r="AE11" i="12" s="1"/>
  <c r="AB9" i="12"/>
  <c r="AD9" i="12" s="1"/>
  <c r="AE9" i="12" s="1"/>
  <c r="AB8" i="12"/>
  <c r="AD8" i="12" s="1"/>
  <c r="AE8" i="12" s="1"/>
  <c r="AB30" i="11"/>
  <c r="AD30" i="11" s="1"/>
  <c r="AE30" i="11" s="1"/>
  <c r="AB29" i="11"/>
  <c r="AD29" i="11" s="1"/>
  <c r="AE29" i="11" s="1"/>
  <c r="AE25" i="11"/>
  <c r="AE23" i="11"/>
  <c r="AE20" i="11"/>
  <c r="AD19" i="11"/>
  <c r="AE19" i="11" s="1"/>
  <c r="AD18" i="11"/>
  <c r="AE18" i="11" s="1"/>
  <c r="AD17" i="11"/>
  <c r="AE17" i="11" s="1"/>
  <c r="AD13" i="11"/>
  <c r="AE13" i="11" s="1"/>
  <c r="AD10" i="11"/>
  <c r="AE10" i="11" s="1"/>
  <c r="AD8" i="11"/>
  <c r="AE8" i="11" s="1"/>
  <c r="AD7" i="11"/>
  <c r="AE7" i="11" s="1"/>
  <c r="AA15" i="12"/>
  <c r="AA10" i="12" s="1"/>
  <c r="AA13" i="12"/>
  <c r="AA14" i="12"/>
  <c r="AA12" i="12"/>
  <c r="AA11" i="12"/>
  <c r="AC9" i="12"/>
  <c r="AA9" i="12"/>
  <c r="AC8" i="12"/>
  <c r="AA8" i="12"/>
  <c r="AA7" i="12"/>
  <c r="AC30" i="11"/>
  <c r="AA30" i="11"/>
  <c r="AC29" i="11"/>
  <c r="AA29" i="11"/>
  <c r="AA28" i="11"/>
  <c r="AA27" i="11"/>
  <c r="AA26" i="11"/>
  <c r="AA25" i="11"/>
  <c r="AA24" i="11"/>
  <c r="AA22" i="11"/>
  <c r="AA21" i="11"/>
  <c r="AA20" i="11"/>
  <c r="AA9" i="11"/>
  <c r="AA8" i="11"/>
  <c r="AA7" i="11"/>
  <c r="E7" i="16"/>
  <c r="E6" i="16"/>
  <c r="K11" i="15"/>
  <c r="M11" i="15" s="1"/>
  <c r="N11" i="15" s="1"/>
  <c r="L10" i="15"/>
  <c r="K10" i="15"/>
  <c r="M10" i="15" s="1"/>
  <c r="N10" i="15" s="1"/>
  <c r="L9" i="15"/>
  <c r="K9" i="15"/>
  <c r="M9" i="15" s="1"/>
  <c r="N9" i="15" s="1"/>
  <c r="K8" i="15"/>
  <c r="M8" i="15" s="1"/>
  <c r="N8" i="15" s="1"/>
  <c r="K7" i="15"/>
  <c r="M7" i="15" s="1"/>
  <c r="N7" i="15" s="1"/>
  <c r="AE21" i="11" l="1"/>
  <c r="AD14" i="11"/>
  <c r="AE14" i="11" s="1"/>
  <c r="AE28" i="11"/>
  <c r="AD16" i="11"/>
  <c r="AE16" i="11" s="1"/>
  <c r="AD22" i="11"/>
  <c r="AE22" i="11" s="1"/>
  <c r="AA10" i="11"/>
  <c r="AE27" i="11"/>
  <c r="AE26" i="11"/>
  <c r="AE24" i="11"/>
  <c r="AD15" i="11"/>
  <c r="AE15" i="11" s="1"/>
  <c r="AD12" i="11"/>
  <c r="AE12" i="11" s="1"/>
  <c r="AD11" i="11"/>
  <c r="AE11" i="11" s="1"/>
  <c r="AD9" i="11"/>
  <c r="AE9" i="11" s="1"/>
  <c r="AD15" i="12"/>
  <c r="AE15" i="12" s="1"/>
  <c r="R52" i="21"/>
  <c r="S52" i="21" s="1"/>
  <c r="J35" i="21"/>
  <c r="K35" i="21" s="1"/>
  <c r="Q35" i="21"/>
  <c r="S40" i="21"/>
  <c r="L38" i="21"/>
  <c r="Q30" i="21"/>
  <c r="J29" i="21"/>
  <c r="L44" i="21"/>
  <c r="M44" i="21" s="1"/>
  <c r="D41" i="22" s="1"/>
  <c r="S44" i="21"/>
  <c r="S32" i="21"/>
  <c r="L29" i="21"/>
  <c r="J44" i="21"/>
  <c r="K44" i="21" s="1"/>
  <c r="J38" i="21"/>
  <c r="J48" i="21"/>
  <c r="L35" i="21"/>
  <c r="M35" i="21" s="1"/>
  <c r="D39" i="22" s="1"/>
  <c r="L48" i="21" l="1"/>
  <c r="D48" i="21"/>
  <c r="E48" i="21" s="1"/>
  <c r="K48" i="21"/>
  <c r="M29" i="21"/>
  <c r="D38" i="22" s="1"/>
  <c r="F29" i="21"/>
  <c r="D29" i="21"/>
  <c r="K29" i="21"/>
  <c r="D38" i="21"/>
  <c r="K38" i="21"/>
  <c r="M38" i="21"/>
  <c r="D40" i="22" s="1"/>
  <c r="F38" i="21"/>
  <c r="G38" i="21" s="1"/>
  <c r="D26" i="22" s="1"/>
  <c r="M48" i="21" l="1"/>
  <c r="D42" i="22" s="1"/>
  <c r="E38" i="21"/>
  <c r="C25" i="21"/>
  <c r="D3" i="22" s="1"/>
  <c r="F48" i="21"/>
  <c r="C24" i="21" s="1"/>
  <c r="E29" i="21"/>
  <c r="G29" i="21"/>
  <c r="D25" i="22" s="1"/>
  <c r="D4" i="22" l="1"/>
  <c r="G48" i="21"/>
  <c r="D27"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Maria Herrera Pedraza</author>
  </authors>
  <commentList>
    <comment ref="W29" authorId="0" shapeId="0" xr:uid="{8A21A79F-980A-4B11-AEA7-81F0889E09EA}">
      <text>
        <r>
          <rPr>
            <b/>
            <sz val="9"/>
            <color indexed="81"/>
            <rFont val="Tahoma"/>
            <family val="2"/>
          </rPr>
          <t>se cambia a 100%</t>
        </r>
      </text>
    </comment>
  </commentList>
</comments>
</file>

<file path=xl/sharedStrings.xml><?xml version="1.0" encoding="utf-8"?>
<sst xmlns="http://schemas.openxmlformats.org/spreadsheetml/2006/main" count="690" uniqueCount="365">
  <si>
    <r>
      <t xml:space="preserve">% Avance 
</t>
    </r>
    <r>
      <rPr>
        <b/>
        <sz val="24"/>
        <color theme="0"/>
        <rFont val="Candara"/>
        <family val="2"/>
      </rPr>
      <t>(Respecto a meta acumulada al corte)</t>
    </r>
  </si>
  <si>
    <r>
      <t xml:space="preserve">% Avance 
</t>
    </r>
    <r>
      <rPr>
        <b/>
        <sz val="24"/>
        <color theme="0"/>
        <rFont val="Candara"/>
        <family val="2"/>
      </rPr>
      <t>(Respecto a meta de 2019)</t>
    </r>
  </si>
  <si>
    <t>Ocultar</t>
  </si>
  <si>
    <t>Focos Estratégicos</t>
  </si>
  <si>
    <t>Ponderación</t>
  </si>
  <si>
    <t>% cumplimiento foco</t>
  </si>
  <si>
    <t>% de avance con respecto a su 100%</t>
  </si>
  <si>
    <t>% cumplimiento Respecto al acumulado del corte</t>
  </si>
  <si>
    <r>
      <t>% Avance Foco</t>
    </r>
    <r>
      <rPr>
        <b/>
        <sz val="20"/>
        <color theme="0"/>
        <rFont val="Candara"/>
        <family val="2"/>
      </rPr>
      <t xml:space="preserve"> (con respecto a meta acumulada del corte)</t>
    </r>
  </si>
  <si>
    <t>Objetivos Estratégicos</t>
  </si>
  <si>
    <t>% cumplimiento
Objetivo</t>
  </si>
  <si>
    <r>
      <t>% Avance objetivos estratégicos</t>
    </r>
    <r>
      <rPr>
        <b/>
        <sz val="20"/>
        <color theme="0"/>
        <rFont val="Candara"/>
        <family val="2"/>
      </rPr>
      <t xml:space="preserve"> (con respecto a meta acumulada del corte)</t>
    </r>
  </si>
  <si>
    <t>Acción</t>
  </si>
  <si>
    <t>Ponderación %</t>
  </si>
  <si>
    <t>% Respecto al acumulado del corte</t>
  </si>
  <si>
    <t>Responsable</t>
  </si>
  <si>
    <t>Indicador</t>
  </si>
  <si>
    <t>Unidad de Medida</t>
  </si>
  <si>
    <t>Meta 2019</t>
  </si>
  <si>
    <t>% Avance
Meta 2019</t>
  </si>
  <si>
    <t>Alerta</t>
  </si>
  <si>
    <t>Observaciones</t>
  </si>
  <si>
    <t>Foco 1. Gobernanza e institucionalidad moderna para el transporte y la logística eficientes y seguros</t>
  </si>
  <si>
    <t>1.1  Fortalecer la institucionalidad de la Entidad</t>
  </si>
  <si>
    <t>Diseño e Implementación  del nuevo esquema de Gobierno Corporativo  de la ANI a desarrollar bajo cronograma de trabajo a lo largo del año</t>
  </si>
  <si>
    <t>Vicepresidencia Administrativa y Financiera</t>
  </si>
  <si>
    <t>% de avance en elaboración de reglamento e implementación al cierre del 2019</t>
  </si>
  <si>
    <t>n</t>
  </si>
  <si>
    <t>Plan de implementación del Modelo de Planeación y Gestión de la ANI.</t>
  </si>
  <si>
    <t>Vicepresidencia de Planeación</t>
  </si>
  <si>
    <t>Porcentaje de cumplimiento</t>
  </si>
  <si>
    <t>%</t>
  </si>
  <si>
    <t>Fortalecimiento de la estructura organizacional a desarrollar bajo cronograma de trabajo a lo largo del año.</t>
  </si>
  <si>
    <t>Número de Proyectos de Decreto Presentados para aprobación interna en 2019</t>
  </si>
  <si>
    <t>UN</t>
  </si>
  <si>
    <t>Fortalecimiento de la gestión del talento humano</t>
  </si>
  <si>
    <t>Porcentaje de cumplimiento. Indicadores de impacto</t>
  </si>
  <si>
    <t>Plan de comunicaciones orientado a promover el empoderamiento y sentido de pertenencia de los colaboradores  que promueva la entidad y mejore su posicionamiento y reputación.</t>
  </si>
  <si>
    <t>Oficina de Comunicaciones</t>
  </si>
  <si>
    <t>Porcentaje de cumplimiento.   Indicadores de impacto</t>
  </si>
  <si>
    <t>Plan de acción para la optimización del sistema de información misional, apropiación y uso de la información</t>
  </si>
  <si>
    <t>Porcentaje de cumplimiento del Plan de acción de optimización</t>
  </si>
  <si>
    <t>1.2 Generar confianza en los ciudadanos, Estado e inversionistas</t>
  </si>
  <si>
    <t>Eventos de fortalecimiento en los cuales las comunidades aporten a la planeación y desarrollo de los proyectos</t>
  </si>
  <si>
    <t>Número de eventos de fortalecimiento realizados</t>
  </si>
  <si>
    <t xml:space="preserve">Plan de comunicaciones orientado a difundir con las comunidades la gestión de los proyectos en todas sus etapas </t>
  </si>
  <si>
    <t>Foco 2.Desarrollar proyectos de Asociación Público Privada que propendan por la intermodalidad, la movilidad y la sostenibilidad</t>
  </si>
  <si>
    <t xml:space="preserve">2.1 Estructurar proyectos de infraestructura de transporte </t>
  </si>
  <si>
    <t>Contrato de una concesión portuaria suscrito por gestión de la ANI</t>
  </si>
  <si>
    <t>Vicepresidencia de Estructuración</t>
  </si>
  <si>
    <t xml:space="preserve">Número de contratos de concesión portuaria suscritos, gestionados por la ANI </t>
  </si>
  <si>
    <t>Con el fin de ampliar la oferta de infraestructura de transporte marítimo, para el cuatrenio la Agencia tiene programado la adjudicación de 2 proyectos de este modo de transporte, vale la pena resaltar que estos proyectos por se netamente de iniciativa privada tienen un largo proceso de maduración hasta alcanzar su adjudicación
Para la presente vigencia se programó la firma de contrato del proyecto  de la sociedad Portuaria Puerto Bahía Colombia de Urabá esta actividad se cumplió en el mes de marzo con la firma del contrato de concesión Portuaria N°. 001 de 2019  y corresponde al 50% de la meta del cuatrenio.</t>
  </si>
  <si>
    <t xml:space="preserve">Estructuración  de  proyectos de Infraestructura de transporte a nivel de factibilidad técnica </t>
  </si>
  <si>
    <t>Número de proyectos estructurados a nivel de factibilidad técnica</t>
  </si>
  <si>
    <t>Plan de acción para la estructuración de la rehabilitación del corredor  férreo Dorada - Chiriguaná.</t>
  </si>
  <si>
    <t>Adjudicación de proyectos de concesión del modo carretero</t>
  </si>
  <si>
    <t>Vicepresidencia Jurídica</t>
  </si>
  <si>
    <t>Número de proyectos en concesión adjudicados en modo carretero</t>
  </si>
  <si>
    <t>Apoyo en la definición de la Metodología de priorización de proyectos para cobro por valorización de acuerdo con el plan de trabajo establecido</t>
  </si>
  <si>
    <t>% cumplimiento del  plan de trabajo en los requerimientos a cargo de la ANI</t>
  </si>
  <si>
    <t>Apoyo en la definición y aplicación del proyecto piloto de valorización en el marco del convenio con la FDN de acuerdo con el plan de trabajo establecido</t>
  </si>
  <si>
    <t>2.2 Gestionar la ejecución de los  proyectos de infraestructura  de transporte</t>
  </si>
  <si>
    <t>Vicepresidencia de Gestión Contractual</t>
  </si>
  <si>
    <t># de kilómetros construidos en nuevas calzadas en los proyectos referidos con seguimiento ANI</t>
  </si>
  <si>
    <t>KM</t>
  </si>
  <si>
    <t>Gestión para la reactivación comercial de la vía férrea del proyecto Bogotá - Belencito</t>
  </si>
  <si>
    <t>Vicepresidencia Ejecutiva</t>
  </si>
  <si>
    <t>Número de Kilómetros con operación comercial gestionados por la ANI</t>
  </si>
  <si>
    <t>Gestión para la ejecución del Plan de modernización de  aeropuertos a cargo de la ANI</t>
  </si>
  <si>
    <t>Porcentaje de cumplimiento del cronograma de modernización en los 4 aeropuertos</t>
  </si>
  <si>
    <t>Número de informes de cumplimiento del Plan de inversiones de los seis puertos</t>
  </si>
  <si>
    <t>Foco 3: Desarrollar la infraestructura de transporte de 4G</t>
  </si>
  <si>
    <t>3.1 Ejecutar los proyectos de cuarta generación</t>
  </si>
  <si>
    <t>Monitoreo proyectos de cuarta generación - Inicio de etapa de operación y mantenimiento - Proyecto Girardot - Honda - Puerto Salgar</t>
  </si>
  <si>
    <t>Número de Actas de inicio de operación y mantenimiento suscritas</t>
  </si>
  <si>
    <t>Número de Kilómetros construidos de vía primaria en proyectos definidos bajo esquema de concesión programa 4G monitoreados por la ANI</t>
  </si>
  <si>
    <t>Número de Kilómetros de vía primaria rehabilitados y mantenidos en los proyectos definidos bajo esquema de concesión programa 4G monitoreados por la ANI</t>
  </si>
  <si>
    <t>META</t>
  </si>
  <si>
    <t>EJECUCIÓN</t>
  </si>
  <si>
    <t>% Avance global Plan de Acción
Vigencia 2019</t>
  </si>
  <si>
    <r>
      <t xml:space="preserve">% Avance Plan de Acción
</t>
    </r>
    <r>
      <rPr>
        <b/>
        <sz val="9"/>
        <color theme="0"/>
        <rFont val="Calibri"/>
        <family val="2"/>
        <scheme val="minor"/>
      </rPr>
      <t>(Respecto a meta acumulada al corte)</t>
    </r>
  </si>
  <si>
    <t>FOCOS</t>
  </si>
  <si>
    <t>Meta</t>
  </si>
  <si>
    <t>% Avance Foco (con respecto a meta acumulada del corte)</t>
  </si>
  <si>
    <t>Ejecución</t>
  </si>
  <si>
    <t>AGENCIA NACIONAL DE INFRAESTRUCTURA</t>
  </si>
  <si>
    <t>TABLERO DE CONTROL - SEGUIMIENTO PLAN DE ACCIÓN</t>
  </si>
  <si>
    <t>VIGENCIA 2019</t>
  </si>
  <si>
    <t>VICEPRESIDENCIA DE GESTIÓN CONTRACTUAL</t>
  </si>
  <si>
    <t>Meta Enero</t>
  </si>
  <si>
    <t>Avances Enero</t>
  </si>
  <si>
    <t>Meta Febrero</t>
  </si>
  <si>
    <t>Avances Febrero</t>
  </si>
  <si>
    <t>Meta Marzo</t>
  </si>
  <si>
    <t>Avances Marzo</t>
  </si>
  <si>
    <t>Meta Abril</t>
  </si>
  <si>
    <t>Avance Abril</t>
  </si>
  <si>
    <t>Meta Mayo</t>
  </si>
  <si>
    <t>Avance Mayo</t>
  </si>
  <si>
    <t>Meta Junio</t>
  </si>
  <si>
    <t>Avance Junio</t>
  </si>
  <si>
    <t>Meta Julio</t>
  </si>
  <si>
    <t>Avance Julio</t>
  </si>
  <si>
    <t>Meta Agosto</t>
  </si>
  <si>
    <t>Avance Agosto</t>
  </si>
  <si>
    <t>Meta Septiembre</t>
  </si>
  <si>
    <t>Avance Septiembre</t>
  </si>
  <si>
    <t>Meta Octubre</t>
  </si>
  <si>
    <t>Avance Octubre</t>
  </si>
  <si>
    <t>Meta Noviembre</t>
  </si>
  <si>
    <t>Avance Noviembre</t>
  </si>
  <si>
    <t>Meta Diciembre</t>
  </si>
  <si>
    <t>Avance Diciembre</t>
  </si>
  <si>
    <t>Meta Anual</t>
  </si>
  <si>
    <t>Meta Programada a la fecha de corte</t>
  </si>
  <si>
    <t>Avance Acumulado
Abril/19</t>
  </si>
  <si>
    <t>% Avance
Meta</t>
  </si>
  <si>
    <t>Convenciones</t>
  </si>
  <si>
    <t>Seguimiento a la construcción de nuevas calzadas en los siguientes proyectos</t>
  </si>
  <si>
    <t>0 a 69,9%</t>
  </si>
  <si>
    <t xml:space="preserve"> - Girardot - Ibagué - Cajamarca - 6,8Km</t>
  </si>
  <si>
    <t>Meta programada para el mes de diciembre</t>
  </si>
  <si>
    <t>70 a 90%</t>
  </si>
  <si>
    <t>Meta inicia ejecución a partir del mes de junio</t>
  </si>
  <si>
    <t xml:space="preserve"> - Transversal de las Américas - 32,96</t>
  </si>
  <si>
    <t>El Proyecto Transversal de las américas tiene un avance de 5.2 Km correspondientes a un 15,6% de la meta propuesta.
Se debe remitir la reprogramación de obras según lo establecido en los documentos modificatorios firmados en el mes de mayo</t>
  </si>
  <si>
    <t>No tiene programacion</t>
  </si>
  <si>
    <t xml:space="preserve">Monitoreo a la construcción de la Vía primaria  bajo esquema concesión programa 4G de:
</t>
  </si>
  <si>
    <t xml:space="preserve"> - Rumichaca - Pasto - 20Km</t>
  </si>
  <si>
    <t xml:space="preserve"> - IP Neiva - Espinal - 11,9Km</t>
  </si>
  <si>
    <t>Esta actividad se encuentra afectada por un Evento Eximente de Responsabilidad, el cual no ha sido posible superar desde el 15 de junio de 2017. Por lo anterior, la Vicepresidencia de Gestión Contractual solicitó mediante memorando interno No. 2019-312-008/779-3 del 14/06/2019 a la Vicepresidencia de Planeación, Riesgos y Entorno la modificación del plan de acción.</t>
  </si>
  <si>
    <t xml:space="preserve"> - Conexión Norte - 0,6Km</t>
  </si>
  <si>
    <t xml:space="preserve">
 - Vías del NUS - 4.0Km</t>
  </si>
  <si>
    <t>Durante el mes de junio de 2019 para la construcción de la doble calzada se continua con el movimiento de tierras y la intervención de taludes.</t>
  </si>
  <si>
    <t xml:space="preserve"> - IP Antioquia - Bolivar - 17Km</t>
  </si>
  <si>
    <t>Se suscribió Acta de Terminación Parcial de UF 3 el 28 de junio de 2019, que contempla las intervenciones asociadas a la construcción de 17km de calzada sencilla</t>
  </si>
  <si>
    <t xml:space="preserve">Monitoreo a la rehabilitación de las vías Via primaria bajo esquema de concesión programa 4G </t>
  </si>
  <si>
    <t xml:space="preserve"> - Rumichaca - Pasto - 2,53Km</t>
  </si>
  <si>
    <t>Teniendo en cuenta que las obras se encuentran retrazadas como consecuencia de los bloqueos de la minga se debe revisar la programación</t>
  </si>
  <si>
    <t xml:space="preserve"> - Girardot - Honda - Puerto Salgar - 26,31Km</t>
  </si>
  <si>
    <t>Obras avanzando de acuerdo con la programación</t>
  </si>
  <si>
    <t xml:space="preserve"> - IP Neiva - Espinal - Girardot - 105,1Km</t>
  </si>
  <si>
    <t xml:space="preserve"> - Puerta del Hierro - Cruz del Viso - 65Km</t>
  </si>
  <si>
    <t xml:space="preserve"> - Conexión Norte - 22Km</t>
  </si>
  <si>
    <t>La meta para el periodo era de 17Km se avanzó en 14Km se debe reajustar la programación</t>
  </si>
  <si>
    <t xml:space="preserve"> - Vías del Nus - 20Km</t>
  </si>
  <si>
    <t>Durante el mes de mayo de 2019 el Concesionario terminó la rehabilitación del PR29 al PR31 y  continúo con actividades de fresado y reciclado del PR 27 al PR29  para la rehabilitación de la UF-5. El avance al 31 de mayo de 2019 en la UF-5 es de 42.99% y programado de 45.55%.</t>
  </si>
  <si>
    <t xml:space="preserve"> - Autopista al Mar 2 - 46,2Km</t>
  </si>
  <si>
    <t>Una de las razones manifestadas por el subcontratista Conviur, encargado de la rehabilitación de la carpeta asfáltica de la UF5, es que la empresa El Cóndor no suministró mezcla asfáltica continuamente, debido a que estaba entregando al Proyecto Transversal de las Américas para que esta cumpliera con la entrega de reversión.</t>
  </si>
  <si>
    <t xml:space="preserve"> - IP Antioquia-Bolivar 77,6Km</t>
  </si>
  <si>
    <t>Se debe revisar la programación suministrada en el Plan opertativo con el fin de ajustar la meta a lo programado en el Plan de Acción(77,8Km)</t>
  </si>
  <si>
    <t xml:space="preserve">  - Perimetral del Oriente de Cundinamarca  - 1,99Km</t>
  </si>
  <si>
    <t>Km de mejoramiento de las UF 2 Y 3, Pendiente sectores con punto de sensibilidad hídrica (EER Arrayanes, EER Los Duraznos, Peaje Los Patios ) y sector de arqueología</t>
  </si>
  <si>
    <t>Formulación  del borrador de la política a atención de puntos críticos</t>
  </si>
  <si>
    <t>Aunque esta acción fue propuesta por la Vicepresidencia de Gestión Contractual, esta manifiesta que la responsabilidad de la formulación recae en la Vicepresidencia de Estructuración.
Se requiere definición urgente de esta competencia con el fin de iniciar las actividades requeridas</t>
  </si>
  <si>
    <t>Para cumplir con esta meta se requiere tener especial cuidado de la  finalización de la construcción y entrega al proyecto del Puente sobre el Rio Magdalena que forma parte de la Variante de Honda, el cual es construido por el INVIAS.</t>
  </si>
  <si>
    <t>Las obras de modernización de los aeropuertos vienen avanzando de acuerdo con lo programado, en el mes de mayo se recibieron obras en el aeropuerto Ernesto Cortissoz, que junto con las obras del aeropuerto Camilo Daza corresponden al 50% de  la meta anual</t>
  </si>
  <si>
    <t>VICEPRESIDENCIA EJECUTIVA</t>
  </si>
  <si>
    <t xml:space="preserve"> - Pacífico 2 - 3,5Km</t>
  </si>
  <si>
    <t>De acuerdo con el plan de obra de la UF 2 y 4, se debe finalizar la construcción de estas unidades octubre de 2020, se estimó con la interventoría dejar construidos 3km y 0.5 km  respectivamente, para está vigencia.</t>
  </si>
  <si>
    <t>Está acorde con plan de obras, inician obra en junio.</t>
  </si>
  <si>
    <t>Debido al rendimiento  presentado y a la compra de tiempo por el concesionario a la uF3 se estimó con la interventoría que las obras terminaban ejecutadas para diciembre. Adicionalmente se está a la espera del ajuste al plan de obras presentado por el concesionario.</t>
  </si>
  <si>
    <t>Monitoreo a la rehabilitación de la Vía primaria  bajo esquema concesión programa 4G de:</t>
  </si>
  <si>
    <t xml:space="preserve"> - Pacifico 3 - 39Km
</t>
  </si>
  <si>
    <t xml:space="preserve">De acuerdo con el plan de obra de la UF 3 y 4, se debe finalizar la construcción en octubre y se cuenta con 60 días para verificación de estas por parte de la interventoría, por lo anterior se programó al mes de diciembre. </t>
  </si>
  <si>
    <t xml:space="preserve"> - Bucaramanga Barranca Yondó - 21,17Km</t>
  </si>
  <si>
    <t xml:space="preserve"> - Mar 1 - 35Km </t>
  </si>
  <si>
    <t>Las metas programadas para el 2019, están acorde al plan de obras , la UF 4.2 está programada finalizar las obras en abril de 2020, por lo anterior se estimó con la interventoría un avance de 35 km para ejecutar en diciembre  de 2019</t>
  </si>
  <si>
    <t xml:space="preserve"> - Tercer Carril - 9,86Km</t>
  </si>
  <si>
    <t>A pesar que la meta está proyectada para el mes de octubre de 2019, a la fecha se realizaron las intervenciones de rehabilitación de los 9,86 km del presente indicador; en consecuencia, el Concesionario mediante comunicación con radicado ANI No. 2019-409-030175-2 del 22/03/2019, puso a disposición las obras de la Unidad Funcional 8. A partir de la fecha antes indicada la Interventoría del proyecto tiene un plazo de 60 días para la verificación de las obras, conforme a lo señalado en el numeral 4.17 de la Parte General del Contrato de Concesión No. 4 de 2016.</t>
  </si>
  <si>
    <t>Se debe revisar la programación toda vez que en reunión con la Vicepresidencia, manifiestan que la programación "Se realizó acorde al plan de obras , teniendo en cuenta los tiempos de verificación "</t>
  </si>
  <si>
    <t>VICEPRESIDENCIA DE ESTRUCTURACIÓN</t>
  </si>
  <si>
    <t>Meta Acumulada Mayo</t>
  </si>
  <si>
    <t>Avance Acumulado
Mayo/19</t>
  </si>
  <si>
    <t>Centro Administrativo Económico de Buenaventura(CAEB)</t>
  </si>
  <si>
    <t>ND</t>
  </si>
  <si>
    <t>Se requiere contar con los datos de la programación de cada uno de los proyectos con el fin de monitorear los avances</t>
  </si>
  <si>
    <t xml:space="preserve"> Villeta Guaduas</t>
  </si>
  <si>
    <t>Puerto Salgar - San Roque</t>
  </si>
  <si>
    <t>Nueva Malla Vial del Valle del Cauca</t>
  </si>
  <si>
    <t>Campo de Vuelo Aeropuerto el Dorado</t>
  </si>
  <si>
    <t>A la fecha se tiene definido que el proyecto aa adjudicar el ALO SUR, De acuerdo con el cronograma presentado en los Indicadores transformacionales se adjudicará en el primer trimestre de 2020, por lo tanto esta meta no se cumplirá en la presente vigencia. 
Se requiere revisar esta programación</t>
  </si>
  <si>
    <t>VICEPRESIDENCIA ADMINISTRATIVA Y FINANCIERA</t>
  </si>
  <si>
    <t>Meta Acumulada Abril</t>
  </si>
  <si>
    <t>Aunque para el periodo enero a abril, no se tiene programadas metas, se requiere a la brevedad la formulación del Plan de Acción, con el fin de monitorear los avances</t>
  </si>
  <si>
    <t xml:space="preserve">Realizar Plan de Acción </t>
  </si>
  <si>
    <t>Realizar taller inicial de socialización del diagnóstico a Comité Directivo.</t>
  </si>
  <si>
    <t>Realizar talleres con actores relevantes frente a la modificación del gobierno corporativo de la ANI y sensibilizar acerca de la inclusión de consideraciones de género en la gobernanza corporativa.</t>
  </si>
  <si>
    <t>Elaborar e implementar normas internas de gobierno corporativo que incluyan consideraciones de género.</t>
  </si>
  <si>
    <t>Elaborar el borrador del proyecto de Ley para reformar el Gobierno Corporativo de la ANI con su respectiva exposición de motivos</t>
  </si>
  <si>
    <t>Construir un esquema de veeduría ciudadana a la implementación de las medidas que incluya consideraciones de género en su reglamento de constitución.</t>
  </si>
  <si>
    <t>Realizar capacitación a los miembros independientes y al staff de los Ministerios involucrados en el Consejo Directivo</t>
  </si>
  <si>
    <t>Contratar la formulación de las líneas de base para las evaluaciones del primer y segundo año</t>
  </si>
  <si>
    <t>Realizar evaluación de seguimiento a la gestión relacionada con Gobierno Corporativo</t>
  </si>
  <si>
    <t xml:space="preserve">Fortalecimiento de la estructura organizacional y de la gestión del talento humano, a desarrollar bajo cronograma de trabajo a lo largo del año. </t>
  </si>
  <si>
    <t>Teniendo en cuenta que el desarrollo de esta meta, depende de los avance del convenio con la CAF, se requiere que una vez se cuente con el convenio definitivo se elabore el Plan de Acción para su cumplimiento</t>
  </si>
  <si>
    <t>VICEPRESIDENCIA DE PLANEACION RIESGOS Y ENTORNO</t>
  </si>
  <si>
    <t>Plan de acción para la implementación y mantenimiento de los siguientes mecanismos</t>
  </si>
  <si>
    <t xml:space="preserve"> - SARLAFT</t>
  </si>
  <si>
    <t>De acuerdo con lo establecido en el Plan para la presente vigencia, durante el mes de marzo, se avanzó en el estudio de marvcado para la implementación del esquema, posteriormente se realizó reunión exploratoria con la UIAF en la cual se identificaron aspectos claves que debe tener en cuenta la entidad para la implementación.
Se debe realizar una nueva reunión con la UIAF con el fin de establecer la pertinencia de que la entidad de constituya reportante y como resultado se esta determinar los alcances del SARLAFT en la Agencia</t>
  </si>
  <si>
    <t xml:space="preserve"> - Norma ISO 37001</t>
  </si>
  <si>
    <t>Durante el periodo se programó y realizó la auditoría inicial del sistema en la cual se identificaron los aspectos a mejorar, se revisó con cada equió de trabajo los mapas antisoborno y se formuló y aprobó el procedimiento de denuncias de soborno.
Falta por actualizar el Manual de Riesgos antisoborno</t>
  </si>
  <si>
    <t xml:space="preserve"> - Mecanismo de Reporte de Alto Nivel -   MRAN</t>
  </si>
  <si>
    <t>Se han realizado reuniones con la Secretaría deTransparencia de Presidencia de la República en desarollo de las cuales se avanzó en el borrador del convenio y en el esquema de funcionamiento del Mecanísmo.
Se debe suscribir el convenio con la Secretaría de Transparencia con el fin de activar el Mecanísmo en la contratación del Proyecto del modo carretero a adjudicar en la presente vigencia.</t>
  </si>
  <si>
    <t xml:space="preserve"> - Plan Anticorrupción y de Atención al Ciudadano</t>
  </si>
  <si>
    <t>En desarrollo del plan anticorupción se realiz´p la formulaciónm, socialización, publicación y seguimiento del Primer Cuatrimestre.
Adicionalmente, se ha venido avanzando en la actualización de las mapas de riesgos y medidas anticorrupción.</t>
  </si>
  <si>
    <t>A la fecha se tiene una programación preliminar de regiones en las cuales de van a realizar los eventos, se requiere el listado definitivo de los proyectos con el fin de iniciar el protocolo para su realización</t>
  </si>
  <si>
    <t>OFICINA DE COMUNICACIONES</t>
  </si>
  <si>
    <t>A corte de abril, las principales actividades desarrolladas fueron la continuación de la campaña Construimos el país que soñamos  mediante la divulgación semanal de 2 videos y 1 e-card a través de las cuales se promueven el sentido de pertenencia en los servidores de la entidad; de igual manera se publicaron las ediciones 24 y 25 de la revista digital de la Agencia.</t>
  </si>
  <si>
    <t>Para dar a conocer a las partes interesadas la gestión y avances de los proyectos a cargo de la ANI, en el mes de abril se participó en ocho (8) eventos de socialización y/o reuniones con entes gubernamentales, comunidades, agremiaciones y ciudadanía.
Atendiendo a las convocatorias recibidas, se asistió a un (1) taller Construyendo país en el municipio de Pereira. 
De las actividades planeadas la que hace referencia a la contratación de una Central de Medios para la divulgación de mensajes y estrategia de gobierno en medios de comunicación, aun no cuenta con avance, puesto que a la Oficina de Comunicaciones no dispone de los recursos suficientes para el desarrollo de la misma.</t>
  </si>
  <si>
    <t>Meta Cuatrenio</t>
  </si>
  <si>
    <t>Meta Vigencia</t>
  </si>
  <si>
    <t>Avance a Abril</t>
  </si>
  <si>
    <t>% Avance a abril</t>
  </si>
  <si>
    <t>% Avance Vigencia</t>
  </si>
  <si>
    <t>Construcción de la Vía primaria  bajo esquema concesión programa 4G</t>
  </si>
  <si>
    <t>Monitoreo a la rehabilitación de Via primaria bajo esquema de concesión programa 4G</t>
  </si>
  <si>
    <t>Monitoreo a la construcción de la Vía primaria  bajo esquema concesión programa 4G en 9 proyectos</t>
  </si>
  <si>
    <t>Proyecto</t>
  </si>
  <si>
    <t>Meta
Vigencia</t>
  </si>
  <si>
    <t>Observación</t>
  </si>
  <si>
    <t xml:space="preserve">Pacífico 2 </t>
  </si>
  <si>
    <t>De acuerdo con el equipo de supervisión, se están realizando actividades de excavación, llenos, e instalación de base y subbase granular. Se espera cumplimiento de manera anticipada.</t>
  </si>
  <si>
    <t>Chirajara - Fundadores</t>
  </si>
  <si>
    <t>El equipo de supervisión manifiesta que  el proyecto viene adelantando las actividades de acuerdo con el Plan de Obras</t>
  </si>
  <si>
    <t>Bucaramanga Barrancabermeja Yondó</t>
  </si>
  <si>
    <t xml:space="preserve">Pacifico 3 </t>
  </si>
  <si>
    <t>De acuerdo con el equipo de supervisión el concesionario avanza en la ejecución de las obras de acuerdo a lo programado</t>
  </si>
  <si>
    <t>Bucaramanga Barranca Yondó</t>
  </si>
  <si>
    <t>Autopista al Mar 1</t>
  </si>
  <si>
    <t>Tercer Carril</t>
  </si>
  <si>
    <t>Transversal del Sisga</t>
  </si>
  <si>
    <t>De acuerdo con lo informado por Interventoría a través de radicado ANI No. 20194090490072 de 15  de mayo de 2019, correspondiente al mes de abril de 2019.
El proyecto no ha tenido avance teniendo en cuenta que el 17 de Abril fue firmado el acuerdo conciliatorio entre la ANI y el Concesionario y este documento debe ser revisado por parte del tribunal de arbitramento y la procuraduría.</t>
  </si>
  <si>
    <t>primera a tercera generación</t>
  </si>
  <si>
    <t>Seguimiento a la construcción de nuevas calzadas en proyectos de 1ª a 3ª generación</t>
  </si>
  <si>
    <t>80Km</t>
  </si>
  <si>
    <t>42,76 Km</t>
  </si>
  <si>
    <t>12,9Km</t>
  </si>
  <si>
    <t>5,15Km</t>
  </si>
  <si>
    <t>Girardot - Ibagué - Cajamarca</t>
  </si>
  <si>
    <t>De acuerdo con lo manifestado con el concesionario a la fecha tienen un avance del 82% respecto de una meta programada del 85%, actualmente se encuentran en conformación de calzada y terraplenes, el concesionario estima que en agosto se ajustarían a lo programado en el Plan de Obras</t>
  </si>
  <si>
    <t>Gestión para la ejecución del Plan de modernización de 4 aeropuertos</t>
  </si>
  <si>
    <t>Devimed</t>
  </si>
  <si>
    <t>El proyecto viene avanzando de acuerdo con lo programado, el inicio de la entrega de obras se encuentra programado para el mes de junio</t>
  </si>
  <si>
    <t>Seguimiento  al cumplimiento  del plan de inversiones la inversión en 6 puertos a cargo de la ANI</t>
  </si>
  <si>
    <t>Transversal de las Américas</t>
  </si>
  <si>
    <t>El tramo Montería - El quince (1.1Km) tiene problemas en 20Mt con un predio Baldio, se está a la espera de la entrega formal del predio por parte del municipio.
En el sector Cantagallo-San Pablo (11,8Km) por EER relacionado con predios, se amplió el plazo para la ejecución de las obras, 
Teniendo en cuenta que estas metas fueron programadas para el mes de marzo, se sugiere modificar la programación.</t>
  </si>
  <si>
    <t>Formulación del borrador de la política a atención de puntos críticos</t>
  </si>
  <si>
    <t xml:space="preserve">Finalización de etapa de construcción e inicio de la etapa de operación y mantenimiento de los proyectos de cuarta generación. </t>
  </si>
  <si>
    <t>Monitoreo a la rehabilitación de la Vía primaria bajo esquema de concesión programa 4G de 366,7 Km en 10 proyectos</t>
  </si>
  <si>
    <t>Rumichaca - Pasto</t>
  </si>
  <si>
    <t>El Concesionario solicitó evento eximente de responsabilidad debido al desabastecimiento de materiales por causa del paro de la Minga Indigena del Cauca, esta solictud está siento estudiada por la ANI y la interventoria. 
Se continua con analisis de la afectación en plan de obras, pendiente reprogramación de metas.</t>
  </si>
  <si>
    <t>Accesos Norte</t>
  </si>
  <si>
    <t>El supervisor manifiesta que de acuerdo con el Plan de obras, la meta corresponde a 2Km, por lo tanto se solicitará ajuste a la meta</t>
  </si>
  <si>
    <t>Girardot - Honda - Puerto Salgar</t>
  </si>
  <si>
    <t>Esta meta se encuentra programada para le mes de junio, supervisor reporta que avanza de acuerdo con el Plan</t>
  </si>
  <si>
    <t>IP Neiva - Espinal</t>
  </si>
  <si>
    <t>El proyecto viene adelantando las actividades de acuerdo con el Plan de Obras</t>
  </si>
  <si>
    <t>Cartagena - Barranquilla - Circunvalar de la Prosperidad</t>
  </si>
  <si>
    <t>El equipo de supervisión manifiesta que realizarán el ajustes a las metas debido a que:
- UF1 (Boquilla 1,53Km) tiene EER socio-predial desde 2016, toda vez que no se ha podido solucionar, el concesionario está elaborando propuesta de solución
- UF5 (100Mt) construcción doble calzada, tiene un EER desde 2016, el concesionario está elaborando propuesta de solución
- UF6 (7,8Km) Esta meta incluye 4,1Km que se habían reportado como ejecutados en 2018, por lo tanto se debe ajustar la meta a 3,7Km</t>
  </si>
  <si>
    <t>Conexión Norte</t>
  </si>
  <si>
    <t>La concesión puso a disposición las intervenciones de la variante Caucasia, las cuales están siendo revisadas por la Interventoría.</t>
  </si>
  <si>
    <t>Vías del NUS</t>
  </si>
  <si>
    <t>La meta se encuentra programada para el mes de diciembre, sin embargo ha tenido mayores rendimientos por lo que entregó anticipadamente 2,62Km</t>
  </si>
  <si>
    <t>IP Antioquia - Bolivar</t>
  </si>
  <si>
    <t>Las obras de la UF3 se encuentran en verificación por parte de la Interventoría y esta pendiente suscribir acta de terminación parcial ya que se otorgaron al Concesionario dos EER por Caño Bugre y Predial.</t>
  </si>
  <si>
    <t>Magdalena 2</t>
  </si>
  <si>
    <t>Construcción calzada sencilla Variante Puerto Berrió UF4
El equipo de supervisión manifiesta que solicitará eliminar esta meta, teniendo en cuenta que el Concesionario terminó unilateralmente el contrato EPC por incumplimiento, por lo anterior la Agencia inició un proceso sancionatorio por incumplimiento al plan de obras</t>
  </si>
  <si>
    <t>De acuerdo con el equipo de supervisión las obras vienen avanzando de acuerdo con el plan de obras</t>
  </si>
  <si>
    <t>No se cumplío la meta para el mes de abril debido a que la liberación de los predios a cargo de la alcaldía de Guataquí, solo se dio hasta el mes de mayo, por lo que el Concesionario se encuentra llevando a cabo las obras de traslado de redes y pavimento pendientes entre el PR38 - PR39 en el paso urbano del municipio de Guataquí, se estiman culminar en el mes de junio/19.</t>
  </si>
  <si>
    <t>IP Neiva - Espinal - Girardot</t>
  </si>
  <si>
    <t>El equipo de supervisión manifiesta que las obras avanzan de acuerdo con el plan de obras</t>
  </si>
  <si>
    <t>Puerta del Hierro - Cruz del Viso</t>
  </si>
  <si>
    <t>El concesionario no cumplió con la meta establecida, el equipo de supervisión manifiesta que en conjunto con la interventoría se iniciará el periodo de cura.
Por lo anterior el equipo de supervisión solicitará reprogramación</t>
  </si>
  <si>
    <t>Vías del Nus</t>
  </si>
  <si>
    <t>Autopista al Mar 2</t>
  </si>
  <si>
    <t>Se presentaron problemas por suministro de asfalto por parte del proveedor, lo que llevó  a una suspension de obras de tres semanas. 
Se ha informado al concesionario que debe conseguir otro proveedor en la zona para solucionar el tema.</t>
  </si>
  <si>
    <t>IP Antioquia-Bolivar</t>
  </si>
  <si>
    <t>Perimetral del Oriente de Curdinamarca</t>
  </si>
  <si>
    <t>Foco</t>
  </si>
  <si>
    <t>Objetivo</t>
  </si>
  <si>
    <t>1.1</t>
  </si>
  <si>
    <t>1.1.1</t>
  </si>
  <si>
    <t>1.1.2</t>
  </si>
  <si>
    <t>1.1.3</t>
  </si>
  <si>
    <t>1.1.4</t>
  </si>
  <si>
    <t>1.1.5</t>
  </si>
  <si>
    <t>1.1.6</t>
  </si>
  <si>
    <t>1.2</t>
  </si>
  <si>
    <t>1.2.1</t>
  </si>
  <si>
    <t>1.2.2</t>
  </si>
  <si>
    <t>1.2.3</t>
  </si>
  <si>
    <t>2.1</t>
  </si>
  <si>
    <t>2.1.1</t>
  </si>
  <si>
    <t>2.1.2</t>
  </si>
  <si>
    <t>2.1.3</t>
  </si>
  <si>
    <t>2.1.4</t>
  </si>
  <si>
    <t>2.1.5</t>
  </si>
  <si>
    <t>2.1.6</t>
  </si>
  <si>
    <t>2.2</t>
  </si>
  <si>
    <t>2.2.1</t>
  </si>
  <si>
    <t>2.2.2</t>
  </si>
  <si>
    <t>2.2.3</t>
  </si>
  <si>
    <t>2.2.4</t>
  </si>
  <si>
    <t>2.2.5</t>
  </si>
  <si>
    <t>3.1</t>
  </si>
  <si>
    <t>3.1.1</t>
  </si>
  <si>
    <t>3.1.2</t>
  </si>
  <si>
    <t>3.1.3</t>
  </si>
  <si>
    <t>3.1.4</t>
  </si>
  <si>
    <t>3.1.5</t>
  </si>
  <si>
    <t>primera a tercera generación - preliminar mayo 2019</t>
  </si>
  <si>
    <t>% Avance a Mayo</t>
  </si>
  <si>
    <t>Seguimiento a la construcción de nuevas calzadas en los siguientes proyectos:
 - Girardot - Ibagué - Cajamarca - 6,8Km
 - Devimed - 1Km
 - Transversal de las Américas - 32,96</t>
  </si>
  <si>
    <t xml:space="preserve">Construcción de la Vía primaria  bajo esquema concesión programa 4G - Vicepresidencia Ejecutiva 
 - Pacífico 2 - 3,5Km
 - Chirajara - Fundadores - 2,2Km
 - Bucaramanga Barrancabermeja Yondó - 29,15
</t>
  </si>
  <si>
    <t>Construcción de la Vía primaria  bajo esquema concesión programa 4G - Vicepresidencia de Gestión Contractual
 - Rumichaca - Pasto - 20Km
 - Accesos Norte - 2,0Km
 - Girardot - Honda - Puerto Salgar - 2,53Km
 - IP Neiva - Espinal - 11,9Km
 - Cartagena - Barranquilla - Circunvalar de la Prosperidad - 3,81Km
 - Conexión Norte - 0,6Km
 - Vías del NUS - 4.0Km
 - IP Antioquia - Bolivar - 17Km</t>
  </si>
  <si>
    <t xml:space="preserve"> - Devimed - 1Km</t>
  </si>
  <si>
    <t xml:space="preserve"> - Chirajara - Fundadores - 2,2Km</t>
  </si>
  <si>
    <t xml:space="preserve"> - Cartagena - Barranquilla - Circunvalar de la Prosperidad - 3,81Km</t>
  </si>
  <si>
    <t xml:space="preserve"> - Accesos Norte - 2,0Km</t>
  </si>
  <si>
    <t xml:space="preserve"> - Transversal del Sisga 12,25Km</t>
  </si>
  <si>
    <t>% cumplimiento plan de
acción</t>
  </si>
  <si>
    <t>Plan de acción para la implementación y mantenimiento de los siguientes mecanismos:
 - SARLAFT
 - Norma ISO 37001
 - Plan Anticorrupción y de Atención al Ciudadano
 - Gestión de los riesgos de LAFT a través de un convenio colaborativo con la UIAF</t>
  </si>
  <si>
    <t>El Plan Nacional de Desarrollo 2018-2022 establece como una de las prioridades para el periodo la reactivación del modo férreo, este tiene la potencialidad de movilizar mayor número de carga en un solo viaje, haciendo más eficiente el transporte de mercancías promoviendo la especialización y la multimodalidad.
La Agencia tiene a su cargo el denominado corredor férreo central, el cual se extiende desde Bogotá hasta la costa Atlántica, como parte de las meta incluidas en el Plan Estratégico de la Agencia, se encuentra la adjudicación a un operador del corredor férreo La Dorada - Chiriguaná, en desarrollo de este proyecto el pasado 24 de mayo  se adjudicó al Consorcio GCA SETEC el contrato para la adjudicación de la estructuración  técnica del mencionado corredor, el cual tiene una duración de 1 año y se encuentra en la etapa precontractual.</t>
  </si>
  <si>
    <t xml:space="preserve">Como parte de la actividades necesarias para la obtención de nuevas fuentes de financiación, y como resultado del trabajo conjunto con la FDN en la aplicación de la metodología para el cobro de valorización.
El Convenio finalizó el pasado 25 de julio de 2019, en donde a través de la Consultoría Montaña y Borrero, se estableció la metodología de selección de proyectos que fueran viables para aplicar la contribución de valorización, así mismo, se seleccionó un proyecto piloto para simular el cobro de valorización y de esta manera, generar una dinámica de cobro en proyectos viales nacionales.  
Adicional a lo anterior, la consultoría desarrollo la propuesta de CONPES y el Decreto Reglamentario a la Ley 1819 de 2019, que permita definir parámetros para ejecutar la Contribución Nacional de Valorización en proyectos viales a nivel Nacional.  </t>
  </si>
  <si>
    <t>Como parte de la reactivación del modo férreo, la Agencia en su Plan Estratégico estimó que al finalizar el periodo de gobierno se podrán reactivar 657 Km de la red férrea nacional, es así como en la presente vigencia la meta proyectada es la reactivación de 229 kilómetros del proyecto Bogotá-Belencito.
En la actualidad existe movimiento de carga a lo largo de todo el corredor y desde la Vicepresidencia Ejecutiva se vienen realizando reuniones con actores relevantes para la promoción de este modo de transporte y la vinculación de más empresas al transporte por este corredor</t>
  </si>
  <si>
    <t>Monitoreo a la rehabilitación de Vía primaria bajo esquema de concesión programa 4G - Vicepresidencia de Gestión Contractual
 - Rumichaca - Pasto - 2,53Km
 - Girardot - Honda - Puerto Salgar - 26,31Km
 - IP Neiva - Espinal - Girardot - 105,1Km
 - Puerta del Hierro - Cruz del Viso - 65Km
 - Conexión Norte - 22Km
 - Vías del Nus - 20Km
 - Autopista al Mar 2 - 46,2
 - IP Antioquia-Bolivar 77,6Km
 - Perimetral del Oriente de Cundinamarca  - 1,99Km</t>
  </si>
  <si>
    <t>Monitoreo a la rehabilitación de Vía primaria bajo esquema de concesión programa 4G - Vicepresidencia Ejecutiva
 - Pacifico 3 - 39Km
 - Bucaramanga Barranca Yondó - 21,17Km
 - Mar 1 - 35Km 
 - Tercer Carril - 9,86Km
 - Transversal del Sisga 12,25Km</t>
  </si>
  <si>
    <t>Con el fin de ampliar la oferta de proyectos de infraestructura de Transporte, la Agencia en su Plan Estratégico 2018-2022 incluyó como meta la estructuración de 6 proyectos, estos corresponden al esquema de asociación Público - Privada ya sea que requieran o no recursos públicos, en la presente vigencia se estableció como meta la finalización de la estructuración de 3 de estos.
Se espera que en el cuarto trimestre finalice la estructuración de los proyectos Buga – Loboguerrero, Loboguerrero – Buenaventura, Accesos Cali – Palmira, Troncal del Magdalena.</t>
  </si>
  <si>
    <t>Teniendo en cuenta que el espacio fiscal para la financiación de proyectos de infraestructura de transporte es muy limitado y que se requiere continuar con la ampliación de la infraestructura a nivel nacional, se requiere de la búsqueda de nuevos recursos, es así como en el Plan Nacional de Desarrollo se identifica que el cobro de valorización a los beneficiarios de los proyectos, es una nieva fuente de financiación.
En la presente vigencia la Agencia tiene como meta apoyar la definición de la  metodología de selección de proyectos a los cuales aplicar el plan piloto de cobro, de acuerdo con el plan de trabajo, durante el primer semestre se finalizó la definición de la metodología y se aplicó satisfactoriamente, de tal manera que se escogió como proyecto piloto Cartagena - Barranquilla y circunvalar de la Prosperidad. </t>
  </si>
  <si>
    <t xml:space="preserve"> - Bucaramanga Barrancabermeja Yondó - 29,15</t>
  </si>
  <si>
    <t>SISTEMA INTEGRADO DE GESTIÓN</t>
  </si>
  <si>
    <t>CÓDIGO</t>
  </si>
  <si>
    <t>SEPG-F-070</t>
  </si>
  <si>
    <t>PROCESO</t>
  </si>
  <si>
    <t>SISTEMA ESTRATÉGICO DE PLANEACIÓN Y GESTIÓN</t>
  </si>
  <si>
    <t>VERSIÓN</t>
  </si>
  <si>
    <t>FORMATO</t>
  </si>
  <si>
    <t>PLANEACIÓN ESTRATÉGICA</t>
  </si>
  <si>
    <t>FECHA</t>
  </si>
  <si>
    <t>Avances al mes de Octubre - 2019</t>
  </si>
  <si>
    <t>Durante el mes de septiembre se inició la aplicación de los autodiagnósticos de la políticas que componen el modelo, en este periodo se finalizó la actualización de 6 de ellos,los restantes se realizarn en el mes de octubre</t>
  </si>
  <si>
    <t>Durante el mes de septiembre se continuó con las capacitaciones del PIC, específicamente se dictó 1  charla de trabajo en equipo,  de igual manera se adelantaron las actividades de prevención incluidas en el plan de acción de la vigencia correspondientes al SG-SST.</t>
  </si>
  <si>
    <t>Para lograr el empoderamiento de los servidores de la Agencia, la Oficina de Comunicaciones implementó un Plan a través de cual, desarrolla actividades encaminadas a afianzar los vínculos y fortalecer los principios y valores del personal que labora en la entidad, es así como a lo largo de año se ha desarrollado una campaña interna que promueve el sentido de pertenencia por la Entidad, para tal fin semanalmente se están divulgando 2 videos y 1 Ecard de personas ANI que con su trabajo contribuyen al desarrollo de la infraestructura en el país. 
Durante el mes de septiembre se generaron más de 200 piezas gráficas y se publicaron 4 videos de fortalecimiento al sentido de pertenencia. Estos videos tuvieron promedio 355 reproducciones en Instagram, 460 reproducciones y 11 veces compartidos los videos en Facebook, así como un promedio de 30 visualizaciones en la plataforma interna Office 365</t>
  </si>
  <si>
    <t>El objetivo de este proyecto es optimizar el sistema de información misional con el fin de que se constituya en una herramienta que brinde información oportuna y concisa de los proyectos de transporte a cargo de la Agencia, es así como a lo largo de la vigencia se ha avanzado en el el diagnóstico de los componentes del sistema, la identificación de los factores interno y externos, así como la valoración de los diferentes módulos que lo componen. 
Durante el mes de septiembre, Se realizo la definición de la estrategia de la implementación del sistema de información, identificando el alcance, metodologías a utilizar, los objetos y las metas a cumplir.</t>
  </si>
  <si>
    <t>Al igual que el proyecto anterior, dentro de la estrategia de Rendición de Cuentas 2019, la Oficina de Comunicaciones formuló el plan de comunicaciones orientado a difundir en las comunidades y partes interesadas, la información pertinente y necesaria para mantener a las comunidades informadas respecto de los proyectos que se planean desarrollar, la ejecución de los que ya se encuentran contratados y en general la gestión de la entidad.
Durante el mes de septiembre se continuó con la estrategia mediante la asistencia y divulgación de los eventos en los cuales participo la agencia, entre estos están:
• Reunión con gobernador del Quindío y representantes de la Cámara de Comercio de Armenia, para revisar el proyecto de Aeropuertos del Suroccidente.
• Participación en el conversatorio académico: Modernización de la Legislación del Transporte para el Multimodalismo en Colombia.
• Asistencia a la apertura de licitación para la construcción de Fase 2 y 3 de Transmilenio.</t>
  </si>
  <si>
    <t>El modo portuario tiene a su cargo el seguimiento de las inversiones que realizan los concesionarios en los puerto que funcionan bajo este esquema, dichas inversiones corresponden a la contraprestación establecida con el privado por el uso de la playa cedida en concesión.
En la presente vigencia, se está realizando el seguimiento a 6 proyectos que dentro de su plan de inversiones tienen programadas actividades en la presente vigencia, a la fecha se han presentado los informes correspondientes a los trimestres primero a tercero.</t>
  </si>
  <si>
    <t>Seguimiento  al cumplimiento  del plan de inversiones en los  puertos a cargo de la ANI</t>
  </si>
  <si>
    <t>La Agencia Nacional de Infraestructura tiene a su cargo la administración de los aeropuertos que se encuentran concesionados, los cuales tienen en sus contratos la realización de obras encaminadas a ampliar los servicios en cada uno de ellos, para la presente vigencia se tiene programado recibir obras en 4 aeropuertos.
Durante el mes de septiembre se continuó avanzando en las obras de la Terminal de carga del aeropuerto de José María Córdoba, que junto a la sobras del aeropuerto de Cartagena, y los  aeropuertos  Ernesto Cortissoz y Camilo Daza recibidas en el primer semestre corresponden a la meta de la vigencia</t>
  </si>
  <si>
    <t>Con corte a septiembre se viene avanzando de acuerdo con el plan de obras</t>
  </si>
  <si>
    <t>Meta Acumulada septiembre</t>
  </si>
  <si>
    <t>Avance Acumulado
Septiembre</t>
  </si>
  <si>
    <t>% Avance respecto a la meta acumulada a Septiembre</t>
  </si>
  <si>
    <t xml:space="preserve"> - Girardot - Honda - Puerto Salgar - 2,53Km</t>
  </si>
  <si>
    <t xml:space="preserve">Avance Acumulado
</t>
  </si>
  <si>
    <t>Se cumplió con el 120% de la meta, la meta establecida asciende a 178Km y se avanzó en  225,47Km los avances fueron los siguientes:
- Rumichaca-Pasto, Meta 0, avance 0, avance 0%
- Girardot-Honda, meta 26,31, avance 26,31, avance 100%
- Ip Neiva-Girardot, Meta 15,7Km, avance 15,7Km, avance 100%
- Puerta del Hierro-Cruz del Viso, meta 0, avance 24, avance 120%
- Conexión. Norte, meta  22Km, avance 21Km, avance 95%
- Vías del Nus, meta 4, avance 12,5 Km, avance 120%
- Autopista mar2, meta 31,6Km, avance 42,92Km, avance 120%
- Ip Antioquia-Bolivar, meta 77,6, avance 77,6Km, avance 100%
- Perimetral, meta 1,51, avance 1,44, avance 95%</t>
  </si>
  <si>
    <t>La Agencia Nacional de Infraestructura tiene a su cargo, la administración de los proyectos del modo carretero de las concesiones 1a a 4a, es así como para el periodo 2018-2022 se estimó que los proyectos correspondientes a las 1a a 3a generación aportarán la construcción de 80 Km de nuevas calzadas.
Para la vigencia 2019, la meta se estimó en 40.76 Km, de los cuales al mes de Agosto  el Proyecto Transversal de las américas tiene un avance de 21.26 Km correspondientes a un 64,5% de la meta anual propuesta, el proyecto Devimed tuvo un avance de 0,2Km correspondiente a un 20% de la meta anual, El proyecto Girardot-Ibague-Cajamarca de acuerdo con la programación finalizara obras en el ultimo trimestre de año</t>
  </si>
  <si>
    <t>En el mes de agosto  se realizó el ajuste de metas para el proyecto Cartagena-Barranquilla-Circunvalar de la Prosperidad la nueva meta es 3,81Km, para el proyecto Accesos Norte la meta y el avance se ajustaron a 2,0 Km.
La meta acumulada asciende 51,04 Km el avance acumulado es37,97 Km, la ejecución de los proyectos es la siguiente:
- Rumichaca - Pasto, meta 13,51Km, avance 0,5Km, avance 4%
- Accesos Norte, meta 2,0 Km, avance 2,0Km, avance 100%
- Girardot-Honda-Pto Salgar, meta 2,53Km, avance 2,53 Km, 100%
- Ip Neiva-Espinal, meta 11,9Km, avance 11,9Km, avance 100%
- Cartagena-Bquilla 4G, Meta 3,5Km, avance 0,825Km, avance 21%
- Conexión Norte, meta 0,6Km, avance 0,6Km, avance 100%
- Vías del NUS, meta 0Km, avance 2,62Km, avance 120%
- Ip Antioquia-Bolivar, meta 17Km, avance 17Km, avance 100%</t>
  </si>
  <si>
    <t>El Plan Nacional de Desarrollo, establece como una de sus meta para el periodo, la finalización de las obras en los proyectos de cuarta generación de concesiones, y específicamente estableció que finalizarán la etapa de construcción y entrarán en operación 8 proyectos a cargo de la Agencia, para la presente vigencia el proyecto seleccionado es Girardot-Honda-Puerto Salgar.
Para cumplir con esta meta se requiere tener especial cuidado de la  finalización de la construcción y entrega al proyecto del Puente sobre el Rio Magdalena que forma parte de la Variante de Honda, el cual es construido por el INVIAS y se espera sea entregado en el mes de noviembre.</t>
  </si>
  <si>
    <t>En desarrollo de la estrategia de Rendición de Cuentas formulada para la presente vigencia, la Agencia, programó la realización se seis eventos a nivel regional, en desarrollo de los cuales la administración tiene la oportunidad de presentar de primera mano a las comunidades los proyectos que se van a desarrollar, se tiene reciben las sugerencias de las partes interesadas y de acuerdo con la conveniencia se ajustan los mismo.
A lo largo de la vigencia se han realizado 3 eventos de socialización, para el periodo comprendido entre 1 y 30 de septiembre, se realizaron actividades de acompañamiento a las diferentes comunidades de los proyectos a cargo de la Agencia
Estas actividades, apoyan la estrategia de fortalecimiento de la planeación de la Agencia</t>
  </si>
  <si>
    <t>Al mes de septiembre, se ha avanzado en la rehabilitación de 57,8 Km de una meta establecida en 5,16Km, los avances fueron los siguientes:
- Pacífico 3, meta 0 Km, avance 38,3Km, avance 120%
- Transversal del Sisga, Meta 5,16 Km, avance 8,29 Km, avance 120%
- Ip tercer Carril, Meta 9,86Km, Avance 11,2, avance 120%</t>
  </si>
  <si>
    <t>Se realizó la revisión del convenio por parte la Doctora Ilva Restrepo, posteriormente se remitió al área Jurídica del Ministerio de Transporte para su revisión de acuerdo con las instrucciones recibidas de la Señora Ministra</t>
  </si>
  <si>
    <t>Durante el mes de septiembre se realizó la tabulación de la información suministrada por las dependencias en el cálculo de las cargas de trabajo</t>
  </si>
  <si>
    <t xml:space="preserve">
A través de este proyecto, la Agencia profundiza las herramientas de transparencia con las que cuenta en su gestión, es así como durante el mes de septiembre se abrió el proceso de menor cuantía para contratar la certificación de la norma ISO 37001 el cual resultó desierto.
En cuanto al LA-FT,  se participó en la ultima evaluacion nacional de riesgos de Lavado de Activos y Financiación del Terrorísmo y  se apoyo en la elaboración CONPES de SARLAFT para el sector infraestructua. Adicionalmente se elaboró la carta de compromiso que  como colaboradores y reportantes LA/FT firmaremos comn la UIAF, esta se encuentra en proceso de aprobación
Respecto del MRAN, se envió a la Secretaría de Transparencia el borrador del convenio con los ajustes solicitados, actualmente  esta en proceso de elaboracion de la minuta.</t>
  </si>
  <si>
    <t>Al igual que con el modo Férreo, el Plan Nacional de Desarrollo, reconoce la importancia de ampliar la oferta de infraestructura de transporte del modo carretero, con el fin de cumplir con esta meta la Agencia Nacional de Infraestructura estableció en su Plan cuatrienal la adjudicación de 6 proyectos de este modo.
Para la vigencia 2019 se tiene programado la adjudicación del proyecto ALO SUR, a la fecha se han realizado los trámites necesarios ante el Ministerio de Transporte, el Ministerio de Hacienda y el Departamento Nacional de Planeación, durante el mes de agosto se radicó el proyecto para solicitud de concepto ante el Consejo de Ministros, así mismo,  se envió información solicitada por la secretaria jurídica de la Presidencia de la República.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</si>
</sst>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0.0%"/>
    <numFmt numFmtId="165" formatCode="0.0"/>
    <numFmt numFmtId="166" formatCode="#,000"/>
    <numFmt numFmtId="167" formatCode="&quot;00&quot;#"/>
  </numFmts>
  <fonts count="44" x14ac:knownFonts="1">
    <font>
      <sz val="11"/>
      <color theme="1"/>
      <name val="Calibri"/>
      <family val="2"/>
      <scheme val="minor"/>
    </font>
    <font>
      <sz val="11"/>
      <color theme="1"/>
      <name val="Arial Narrow"/>
      <family val="2"/>
    </font>
    <font>
      <sz val="11"/>
      <color theme="1"/>
      <name val="Calibri"/>
      <family val="2"/>
      <scheme val="minor"/>
    </font>
    <font>
      <b/>
      <sz val="14"/>
      <color theme="1"/>
      <name val="Arial Narrow"/>
      <family val="2"/>
    </font>
    <font>
      <b/>
      <sz val="10"/>
      <color theme="1"/>
      <name val="Arial Narrow"/>
      <family val="2"/>
    </font>
    <font>
      <b/>
      <sz val="14"/>
      <color theme="1"/>
      <name val="Calibri"/>
      <family val="2"/>
      <scheme val="minor"/>
    </font>
    <font>
      <b/>
      <sz val="11"/>
      <color theme="1"/>
      <name val="Calibri"/>
      <family val="2"/>
      <scheme val="minor"/>
    </font>
    <font>
      <sz val="11"/>
      <color theme="0"/>
      <name val="Arial Narrow"/>
      <family val="2"/>
    </font>
    <font>
      <sz val="11"/>
      <color theme="0" tint="-0.249977111117893"/>
      <name val="Arial Narrow"/>
      <family val="2"/>
    </font>
    <font>
      <b/>
      <sz val="16"/>
      <color theme="1"/>
      <name val="Calibri"/>
      <family val="2"/>
      <scheme val="minor"/>
    </font>
    <font>
      <b/>
      <sz val="14"/>
      <color rgb="FFFFFFFF"/>
      <name val="Arial"/>
      <family val="2"/>
    </font>
    <font>
      <b/>
      <sz val="11"/>
      <color rgb="FFFFFFFF"/>
      <name val="Arial"/>
      <family val="2"/>
    </font>
    <font>
      <b/>
      <sz val="18.7"/>
      <color rgb="FFFFFFFF"/>
      <name val="Arial"/>
      <family val="2"/>
    </font>
    <font>
      <sz val="11"/>
      <color rgb="FF073763"/>
      <name val="Arial"/>
      <family val="2"/>
    </font>
    <font>
      <sz val="18.7"/>
      <color rgb="FF073763"/>
      <name val="Arial"/>
      <family val="2"/>
    </font>
    <font>
      <sz val="18"/>
      <name val="Arial"/>
      <family val="2"/>
    </font>
    <font>
      <sz val="14"/>
      <name val="Arial"/>
      <family val="2"/>
    </font>
    <font>
      <sz val="11"/>
      <name val="Arial"/>
      <family val="2"/>
    </font>
    <font>
      <b/>
      <sz val="11"/>
      <color rgb="FF073763"/>
      <name val="Arial"/>
      <family val="2"/>
    </font>
    <font>
      <sz val="18"/>
      <color rgb="FF073763"/>
      <name val="Arial"/>
      <family val="2"/>
    </font>
    <font>
      <sz val="14"/>
      <color theme="1"/>
      <name val="Arial"/>
      <family val="2"/>
    </font>
    <font>
      <sz val="14"/>
      <color rgb="FF073763"/>
      <name val="Arial"/>
      <family val="2"/>
    </font>
    <font>
      <sz val="20"/>
      <color theme="1"/>
      <name val="Candara"/>
      <family val="2"/>
    </font>
    <font>
      <sz val="20"/>
      <name val="Candara"/>
      <family val="2"/>
    </font>
    <font>
      <b/>
      <sz val="20"/>
      <color theme="1"/>
      <name val="Candara"/>
      <family val="2"/>
    </font>
    <font>
      <b/>
      <sz val="48"/>
      <color theme="1"/>
      <name val="Candara"/>
      <family val="2"/>
    </font>
    <font>
      <b/>
      <sz val="36"/>
      <color theme="1"/>
      <name val="Candara"/>
      <family val="2"/>
    </font>
    <font>
      <b/>
      <sz val="22"/>
      <color theme="1"/>
      <name val="Candara"/>
      <family val="2"/>
    </font>
    <font>
      <b/>
      <sz val="36"/>
      <color theme="0"/>
      <name val="Candara"/>
      <family val="2"/>
    </font>
    <font>
      <sz val="20"/>
      <color rgb="FF3333CC"/>
      <name val="Candara"/>
      <family val="2"/>
    </font>
    <font>
      <b/>
      <sz val="24"/>
      <color theme="0"/>
      <name val="Candara"/>
      <family val="2"/>
    </font>
    <font>
      <sz val="20"/>
      <color theme="0"/>
      <name val="Candara"/>
      <family val="2"/>
    </font>
    <font>
      <b/>
      <sz val="20"/>
      <name val="Candara"/>
      <family val="2"/>
    </font>
    <font>
      <b/>
      <sz val="20"/>
      <color theme="1"/>
      <name val="Wingdings"/>
      <charset val="2"/>
    </font>
    <font>
      <b/>
      <sz val="20"/>
      <color theme="1"/>
      <name val="Webdings"/>
      <family val="1"/>
      <charset val="2"/>
    </font>
    <font>
      <b/>
      <sz val="20"/>
      <color theme="0"/>
      <name val="Candara"/>
      <family val="2"/>
    </font>
    <font>
      <b/>
      <sz val="48"/>
      <color theme="1"/>
      <name val="Webdings"/>
      <family val="1"/>
      <charset val="2"/>
    </font>
    <font>
      <b/>
      <sz val="9"/>
      <color indexed="81"/>
      <name val="Tahoma"/>
      <family val="2"/>
    </font>
    <font>
      <b/>
      <sz val="48"/>
      <color rgb="FF00B050"/>
      <name val="Webdings"/>
      <family val="1"/>
      <charset val="2"/>
    </font>
    <font>
      <b/>
      <sz val="48"/>
      <color theme="0" tint="-0.499984740745262"/>
      <name val="Webdings"/>
      <family val="1"/>
      <charset val="2"/>
    </font>
    <font>
      <b/>
      <sz val="11"/>
      <color theme="0"/>
      <name val="Calibri"/>
      <family val="2"/>
      <scheme val="minor"/>
    </font>
    <font>
      <b/>
      <sz val="9"/>
      <color theme="0"/>
      <name val="Calibri"/>
      <family val="2"/>
      <scheme val="minor"/>
    </font>
    <font>
      <b/>
      <sz val="48"/>
      <color rgb="FFFFC000"/>
      <name val="Webdings"/>
      <family val="1"/>
      <charset val="2"/>
    </font>
    <font>
      <sz val="11"/>
      <name val="Calibri"/>
      <family val="2"/>
      <scheme val="minor"/>
    </font>
  </fonts>
  <fills count="2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EABC3A"/>
        <bgColor indexed="64"/>
      </patternFill>
    </fill>
    <fill>
      <patternFill patternType="solid">
        <fgColor rgb="FF6D98FF"/>
        <bgColor indexed="64"/>
      </patternFill>
    </fill>
    <fill>
      <patternFill patternType="solid">
        <fgColor rgb="FF5B8BFF"/>
        <bgColor indexed="64"/>
      </patternFill>
    </fill>
    <fill>
      <patternFill patternType="solid">
        <fgColor rgb="FFD4DDFF"/>
        <bgColor indexed="64"/>
      </patternFill>
    </fill>
    <fill>
      <patternFill patternType="solid">
        <fgColor rgb="FFD2DAFF"/>
        <bgColor indexed="64"/>
      </patternFill>
    </fill>
    <fill>
      <patternFill patternType="solid">
        <fgColor rgb="FFEBEFFF"/>
        <bgColor indexed="64"/>
      </patternFill>
    </fill>
    <fill>
      <patternFill patternType="solid">
        <fgColor rgb="FFEAEEFF"/>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99FF"/>
        <bgColor indexed="64"/>
      </patternFill>
    </fill>
    <fill>
      <patternFill patternType="solid">
        <fgColor rgb="FFFFCC00"/>
        <bgColor indexed="64"/>
      </patternFill>
    </fill>
    <fill>
      <patternFill patternType="solid">
        <fgColor theme="5" tint="0.79998168889431442"/>
        <bgColor indexed="64"/>
      </patternFill>
    </fill>
    <fill>
      <patternFill patternType="solid">
        <fgColor rgb="FF00206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2" fillId="0" borderId="0" applyFont="0" applyFill="0" applyBorder="0" applyAlignment="0" applyProtection="0"/>
    <xf numFmtId="42" fontId="2" fillId="0" borderId="0" applyFont="0" applyFill="0" applyBorder="0" applyAlignment="0" applyProtection="0"/>
  </cellStyleXfs>
  <cellXfs count="341">
    <xf numFmtId="0" fontId="0" fillId="0" borderId="0" xfId="0"/>
    <xf numFmtId="0" fontId="3"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4" borderId="0" xfId="0" applyFill="1"/>
    <xf numFmtId="9" fontId="1" fillId="3" borderId="2" xfId="1" applyFont="1" applyFill="1" applyBorder="1" applyAlignment="1">
      <alignment horizontal="center" vertical="center" wrapText="1"/>
    </xf>
    <xf numFmtId="9" fontId="1" fillId="3" borderId="1" xfId="1" applyFont="1" applyFill="1" applyBorder="1" applyAlignment="1">
      <alignment horizontal="center" vertical="center" wrapText="1"/>
    </xf>
    <xf numFmtId="0" fontId="0" fillId="0" borderId="0" xfId="0" applyBorder="1"/>
    <xf numFmtId="0" fontId="0" fillId="6" borderId="0" xfId="0" applyFill="1"/>
    <xf numFmtId="0" fontId="1" fillId="3" borderId="1" xfId="0" applyFont="1" applyFill="1" applyBorder="1" applyAlignment="1">
      <alignment wrapText="1"/>
    </xf>
    <xf numFmtId="0" fontId="1" fillId="3" borderId="1" xfId="0" applyFont="1" applyFill="1" applyBorder="1" applyAlignment="1">
      <alignment horizontal="left" vertical="center" wrapText="1"/>
    </xf>
    <xf numFmtId="0" fontId="1" fillId="7" borderId="1" xfId="0" applyFont="1" applyFill="1" applyBorder="1" applyAlignment="1">
      <alignment wrapText="1"/>
    </xf>
    <xf numFmtId="0" fontId="1"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6" fillId="0" borderId="0" xfId="0" applyFont="1"/>
    <xf numFmtId="0" fontId="1" fillId="7" borderId="1" xfId="0" applyFont="1" applyFill="1" applyBorder="1" applyAlignment="1">
      <alignment horizontal="left" vertical="center" wrapText="1"/>
    </xf>
    <xf numFmtId="0" fontId="0" fillId="3" borderId="0" xfId="0" applyFill="1"/>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9" fontId="1" fillId="5" borderId="1" xfId="1" applyFont="1" applyFill="1" applyBorder="1" applyAlignment="1">
      <alignment horizontal="center" vertical="center" wrapText="1"/>
    </xf>
    <xf numFmtId="0" fontId="1" fillId="5" borderId="1" xfId="0" applyFont="1" applyFill="1" applyBorder="1" applyAlignment="1">
      <alignment vertical="center" wrapText="1"/>
    </xf>
    <xf numFmtId="0" fontId="0" fillId="0" borderId="8" xfId="0" applyBorder="1" applyAlignment="1">
      <alignment horizontal="center"/>
    </xf>
    <xf numFmtId="0" fontId="1" fillId="5" borderId="1" xfId="0" applyFont="1" applyFill="1" applyBorder="1" applyAlignment="1">
      <alignment wrapText="1"/>
    </xf>
    <xf numFmtId="9" fontId="0" fillId="0" borderId="0" xfId="0" applyNumberFormat="1" applyAlignment="1">
      <alignment horizontal="left"/>
    </xf>
    <xf numFmtId="0" fontId="0" fillId="0" borderId="0" xfId="0" applyAlignment="1">
      <alignment wrapText="1"/>
    </xf>
    <xf numFmtId="0" fontId="1" fillId="8" borderId="1" xfId="0" applyFont="1" applyFill="1" applyBorder="1" applyAlignment="1">
      <alignment horizontal="center" vertical="center" wrapText="1"/>
    </xf>
    <xf numFmtId="0" fontId="1" fillId="5" borderId="1" xfId="0" applyFont="1" applyFill="1" applyBorder="1" applyAlignment="1">
      <alignment horizontal="center" wrapText="1"/>
    </xf>
    <xf numFmtId="0" fontId="1" fillId="0" borderId="1" xfId="0"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0" fontId="0" fillId="9" borderId="0" xfId="0" applyFill="1"/>
    <xf numFmtId="9" fontId="7" fillId="3" borderId="1" xfId="1" applyFont="1" applyFill="1" applyBorder="1" applyAlignment="1">
      <alignment horizontal="center" vertical="center" wrapText="1"/>
    </xf>
    <xf numFmtId="9" fontId="7" fillId="5" borderId="1" xfId="1" applyFont="1" applyFill="1" applyBorder="1" applyAlignment="1">
      <alignment horizontal="center" vertical="center" wrapText="1"/>
    </xf>
    <xf numFmtId="9" fontId="1" fillId="5" borderId="1" xfId="1" applyNumberFormat="1" applyFont="1" applyFill="1" applyBorder="1" applyAlignment="1">
      <alignment horizontal="center" vertical="center" wrapText="1"/>
    </xf>
    <xf numFmtId="1" fontId="7" fillId="0" borderId="2" xfId="0" applyNumberFormat="1" applyFont="1" applyFill="1" applyBorder="1" applyAlignment="1">
      <alignment vertical="center" wrapText="1"/>
    </xf>
    <xf numFmtId="0" fontId="0" fillId="10" borderId="0" xfId="0" applyFill="1"/>
    <xf numFmtId="1" fontId="8" fillId="5" borderId="1" xfId="0" applyNumberFormat="1" applyFont="1" applyFill="1" applyBorder="1" applyAlignment="1">
      <alignment vertical="center" wrapText="1"/>
    </xf>
    <xf numFmtId="9" fontId="8" fillId="5" borderId="1" xfId="1" applyFont="1" applyFill="1" applyBorder="1" applyAlignment="1">
      <alignment horizontal="center" vertical="center" wrapText="1"/>
    </xf>
    <xf numFmtId="42" fontId="0" fillId="0" borderId="0" xfId="2" applyFont="1"/>
    <xf numFmtId="0" fontId="9" fillId="0" borderId="0" xfId="0" applyFont="1"/>
    <xf numFmtId="0" fontId="10" fillId="11" borderId="9" xfId="0" applyFont="1" applyFill="1" applyBorder="1" applyAlignment="1">
      <alignment horizontal="center" vertical="center" wrapText="1" readingOrder="1"/>
    </xf>
    <xf numFmtId="0" fontId="11" fillId="11" borderId="9" xfId="0" applyFont="1" applyFill="1" applyBorder="1" applyAlignment="1">
      <alignment horizontal="center" vertical="center" wrapText="1" readingOrder="1"/>
    </xf>
    <xf numFmtId="0" fontId="12" fillId="12" borderId="9" xfId="0" applyFont="1" applyFill="1" applyBorder="1" applyAlignment="1">
      <alignment horizontal="center" vertical="center" wrapText="1" readingOrder="1"/>
    </xf>
    <xf numFmtId="0" fontId="13" fillId="13" borderId="10" xfId="0" applyFont="1" applyFill="1" applyBorder="1" applyAlignment="1">
      <alignment horizontal="left" vertical="center" wrapText="1" readingOrder="1"/>
    </xf>
    <xf numFmtId="0" fontId="13" fillId="13" borderId="10" xfId="0" applyFont="1" applyFill="1" applyBorder="1" applyAlignment="1">
      <alignment horizontal="center" vertical="center" wrapText="1" readingOrder="1"/>
    </xf>
    <xf numFmtId="9" fontId="13" fillId="13" borderId="10" xfId="0" applyNumberFormat="1" applyFont="1" applyFill="1" applyBorder="1" applyAlignment="1">
      <alignment horizontal="center" vertical="center" wrapText="1" readingOrder="1"/>
    </xf>
    <xf numFmtId="0" fontId="14" fillId="14" borderId="10" xfId="0" applyFont="1" applyFill="1" applyBorder="1" applyAlignment="1">
      <alignment horizontal="left" vertical="center" wrapText="1" readingOrder="1"/>
    </xf>
    <xf numFmtId="0" fontId="15" fillId="14" borderId="10" xfId="0" applyFont="1" applyFill="1" applyBorder="1" applyAlignment="1">
      <alignment horizontal="center" vertical="center" wrapText="1"/>
    </xf>
    <xf numFmtId="9" fontId="15" fillId="14" borderId="10" xfId="1" applyFont="1" applyFill="1" applyBorder="1" applyAlignment="1">
      <alignment horizontal="center" vertical="center" wrapText="1"/>
    </xf>
    <xf numFmtId="0" fontId="16" fillId="14" borderId="10" xfId="0" applyFont="1" applyFill="1" applyBorder="1" applyAlignment="1">
      <alignment vertical="top" wrapText="1"/>
    </xf>
    <xf numFmtId="0" fontId="13" fillId="15" borderId="11" xfId="0" applyFont="1" applyFill="1" applyBorder="1" applyAlignment="1">
      <alignment horizontal="left" vertical="center" wrapText="1" readingOrder="1"/>
    </xf>
    <xf numFmtId="0" fontId="17" fillId="15" borderId="11" xfId="0" applyFont="1" applyFill="1" applyBorder="1" applyAlignment="1">
      <alignment horizontal="center" vertical="center" wrapText="1"/>
    </xf>
    <xf numFmtId="9" fontId="17" fillId="15" borderId="11" xfId="0" applyNumberFormat="1" applyFont="1" applyFill="1" applyBorder="1" applyAlignment="1">
      <alignment horizontal="center" vertical="center" wrapText="1"/>
    </xf>
    <xf numFmtId="0" fontId="14" fillId="16" borderId="11" xfId="0" applyFont="1" applyFill="1" applyBorder="1" applyAlignment="1">
      <alignment horizontal="left" vertical="center" wrapText="1" readingOrder="1"/>
    </xf>
    <xf numFmtId="0" fontId="15" fillId="16" borderId="11" xfId="0" applyFont="1" applyFill="1" applyBorder="1" applyAlignment="1">
      <alignment horizontal="center" vertical="center" wrapText="1"/>
    </xf>
    <xf numFmtId="9" fontId="15" fillId="16" borderId="11" xfId="1" applyFont="1" applyFill="1" applyBorder="1" applyAlignment="1">
      <alignment horizontal="center" vertical="center" wrapText="1"/>
    </xf>
    <xf numFmtId="0" fontId="16" fillId="16" borderId="11" xfId="0" applyFont="1" applyFill="1" applyBorder="1" applyAlignment="1">
      <alignment vertical="top" wrapText="1"/>
    </xf>
    <xf numFmtId="0" fontId="13" fillId="13" borderId="11" xfId="0" applyFont="1" applyFill="1" applyBorder="1" applyAlignment="1">
      <alignment horizontal="left" vertical="center" wrapText="1" readingOrder="1"/>
    </xf>
    <xf numFmtId="0" fontId="17" fillId="13" borderId="11" xfId="0" applyFont="1" applyFill="1" applyBorder="1" applyAlignment="1">
      <alignment horizontal="center" vertical="center" wrapText="1"/>
    </xf>
    <xf numFmtId="0" fontId="14" fillId="14" borderId="11" xfId="0" applyFont="1" applyFill="1" applyBorder="1" applyAlignment="1">
      <alignment horizontal="left" vertical="center" wrapText="1" readingOrder="1"/>
    </xf>
    <xf numFmtId="0" fontId="15" fillId="14" borderId="11" xfId="0" applyFont="1" applyFill="1" applyBorder="1" applyAlignment="1">
      <alignment horizontal="center" vertical="center" wrapText="1"/>
    </xf>
    <xf numFmtId="9" fontId="15" fillId="14" borderId="11" xfId="1" applyFont="1" applyFill="1" applyBorder="1" applyAlignment="1">
      <alignment horizontal="center" vertical="center" wrapText="1"/>
    </xf>
    <xf numFmtId="0" fontId="16" fillId="14" borderId="11" xfId="0" applyFont="1" applyFill="1" applyBorder="1" applyAlignment="1">
      <alignment vertical="top" wrapText="1"/>
    </xf>
    <xf numFmtId="9" fontId="17" fillId="15" borderId="11" xfId="1" applyFont="1" applyFill="1" applyBorder="1" applyAlignment="1">
      <alignment horizontal="center" vertical="center" wrapText="1"/>
    </xf>
    <xf numFmtId="9" fontId="17" fillId="15" borderId="11" xfId="1" applyNumberFormat="1" applyFont="1" applyFill="1" applyBorder="1" applyAlignment="1">
      <alignment horizontal="center" vertical="center" wrapText="1"/>
    </xf>
    <xf numFmtId="9" fontId="17" fillId="13" borderId="11" xfId="1" applyFont="1" applyFill="1" applyBorder="1" applyAlignment="1">
      <alignment horizontal="center" vertical="center" wrapText="1"/>
    </xf>
    <xf numFmtId="0" fontId="18" fillId="0" borderId="0" xfId="0" applyFont="1" applyAlignment="1">
      <alignment horizontal="left" vertical="center" readingOrder="1"/>
    </xf>
    <xf numFmtId="0" fontId="19" fillId="14" borderId="10" xfId="0" applyFont="1" applyFill="1" applyBorder="1" applyAlignment="1">
      <alignment horizontal="left" vertical="center" wrapText="1" readingOrder="1"/>
    </xf>
    <xf numFmtId="0" fontId="19" fillId="16" borderId="11" xfId="0" applyFont="1" applyFill="1" applyBorder="1" applyAlignment="1">
      <alignment horizontal="left" vertical="center" wrapText="1" readingOrder="1"/>
    </xf>
    <xf numFmtId="0" fontId="19" fillId="14" borderId="11" xfId="0" applyFont="1" applyFill="1" applyBorder="1" applyAlignment="1">
      <alignment horizontal="left" vertical="center" wrapText="1" readingOrder="1"/>
    </xf>
    <xf numFmtId="0" fontId="20" fillId="14" borderId="11" xfId="0" applyFont="1" applyFill="1" applyBorder="1" applyAlignment="1">
      <alignment horizontal="left" vertical="center" wrapText="1" readingOrder="1"/>
    </xf>
    <xf numFmtId="0" fontId="13" fillId="0" borderId="0" xfId="0" applyFont="1" applyAlignment="1">
      <alignment horizontal="left" vertical="center" readingOrder="1"/>
    </xf>
    <xf numFmtId="0" fontId="21" fillId="14" borderId="10" xfId="0" applyFont="1" applyFill="1" applyBorder="1" applyAlignment="1">
      <alignment horizontal="left" vertical="center" wrapText="1" readingOrder="1"/>
    </xf>
    <xf numFmtId="0" fontId="21" fillId="16" borderId="11" xfId="0" applyFont="1" applyFill="1" applyBorder="1" applyAlignment="1">
      <alignment horizontal="left" vertical="center" wrapText="1" readingOrder="1"/>
    </xf>
    <xf numFmtId="0" fontId="21" fillId="14" borderId="11" xfId="0" applyFont="1" applyFill="1" applyBorder="1" applyAlignment="1">
      <alignment horizontal="left" vertical="center" wrapText="1" readingOrder="1"/>
    </xf>
    <xf numFmtId="0" fontId="16" fillId="14" borderId="14" xfId="0" applyFont="1" applyFill="1" applyBorder="1" applyAlignment="1">
      <alignment vertical="top" wrapText="1"/>
    </xf>
    <xf numFmtId="0" fontId="6" fillId="0" borderId="15" xfId="0" applyFont="1" applyBorder="1" applyAlignment="1">
      <alignment horizontal="center"/>
    </xf>
    <xf numFmtId="166" fontId="0" fillId="0" borderId="15" xfId="0" applyNumberFormat="1" applyBorder="1" applyAlignment="1">
      <alignment horizontal="center" vertical="center"/>
    </xf>
    <xf numFmtId="0" fontId="6" fillId="7" borderId="15" xfId="0" applyFont="1" applyFill="1" applyBorder="1" applyAlignment="1">
      <alignment horizontal="center"/>
    </xf>
    <xf numFmtId="0" fontId="0" fillId="7" borderId="15" xfId="0" applyFill="1" applyBorder="1"/>
    <xf numFmtId="0" fontId="28" fillId="17" borderId="1" xfId="0" applyFont="1" applyFill="1" applyBorder="1" applyAlignment="1">
      <alignment horizontal="center" vertical="center" wrapText="1"/>
    </xf>
    <xf numFmtId="0" fontId="22" fillId="0" borderId="0" xfId="0" applyFont="1" applyFill="1" applyAlignment="1">
      <alignment horizontal="center" vertical="center"/>
    </xf>
    <xf numFmtId="10" fontId="22" fillId="19" borderId="1" xfId="1" applyNumberFormat="1" applyFont="1" applyFill="1" applyBorder="1" applyAlignment="1">
      <alignment horizontal="center" vertical="center" wrapText="1"/>
    </xf>
    <xf numFmtId="10" fontId="22" fillId="20" borderId="1" xfId="1" applyNumberFormat="1" applyFont="1" applyFill="1" applyBorder="1" applyAlignment="1">
      <alignment horizontal="center" vertical="center" wrapText="1"/>
    </xf>
    <xf numFmtId="9" fontId="22"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10" fontId="24" fillId="19" borderId="1" xfId="1" applyNumberFormat="1" applyFont="1" applyFill="1" applyBorder="1" applyAlignment="1">
      <alignment horizontal="center" vertical="center" wrapText="1"/>
    </xf>
    <xf numFmtId="0" fontId="31" fillId="0" borderId="1" xfId="1" applyNumberFormat="1" applyFont="1" applyFill="1" applyBorder="1" applyAlignment="1">
      <alignment horizontal="center" vertical="center" wrapText="1"/>
    </xf>
    <xf numFmtId="9" fontId="22" fillId="3" borderId="1" xfId="1" applyFont="1" applyFill="1" applyBorder="1" applyAlignment="1">
      <alignment horizontal="center" vertical="center" wrapText="1"/>
    </xf>
    <xf numFmtId="9" fontId="22" fillId="7" borderId="1" xfId="0" applyNumberFormat="1" applyFont="1" applyFill="1" applyBorder="1" applyAlignment="1">
      <alignment horizontal="center" vertical="center" wrapText="1"/>
    </xf>
    <xf numFmtId="9" fontId="32" fillId="7" borderId="1" xfId="1" applyFont="1" applyFill="1" applyBorder="1" applyAlignment="1">
      <alignment horizontal="center" vertical="center" wrapText="1"/>
    </xf>
    <xf numFmtId="9" fontId="22" fillId="7" borderId="1" xfId="1" applyFont="1" applyFill="1" applyBorder="1" applyAlignment="1">
      <alignment horizontal="center" vertical="center" wrapText="1"/>
    </xf>
    <xf numFmtId="0" fontId="22" fillId="0" borderId="0" xfId="0" applyFont="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center" vertical="center"/>
    </xf>
    <xf numFmtId="0" fontId="27" fillId="3" borderId="0" xfId="0" applyFont="1" applyFill="1" applyBorder="1" applyAlignment="1">
      <alignment horizontal="center" vertical="center"/>
    </xf>
    <xf numFmtId="0" fontId="24" fillId="3" borderId="0" xfId="0" applyFont="1" applyFill="1" applyBorder="1" applyAlignment="1">
      <alignment horizontal="left" vertical="center"/>
    </xf>
    <xf numFmtId="0" fontId="22" fillId="3" borderId="0" xfId="0" applyFont="1" applyFill="1" applyBorder="1" applyAlignment="1">
      <alignment horizontal="center" vertical="center"/>
    </xf>
    <xf numFmtId="9" fontId="24" fillId="3" borderId="0" xfId="0" applyNumberFormat="1" applyFont="1" applyFill="1" applyBorder="1" applyAlignment="1">
      <alignment horizontal="left" vertical="center"/>
    </xf>
    <xf numFmtId="0" fontId="24" fillId="3" borderId="0" xfId="0" applyFont="1" applyFill="1" applyBorder="1" applyAlignment="1">
      <alignment horizontal="left" vertical="center" wrapText="1"/>
    </xf>
    <xf numFmtId="0" fontId="22" fillId="22" borderId="2" xfId="0" applyFont="1" applyFill="1" applyBorder="1" applyAlignment="1">
      <alignment horizontal="center" vertical="center"/>
    </xf>
    <xf numFmtId="0" fontId="22" fillId="23" borderId="2" xfId="0" applyFont="1" applyFill="1" applyBorder="1" applyAlignment="1">
      <alignment horizontal="center" vertical="center"/>
    </xf>
    <xf numFmtId="9" fontId="22" fillId="24" borderId="2"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0" fontId="22" fillId="25" borderId="2" xfId="0" applyFont="1" applyFill="1" applyBorder="1" applyAlignment="1">
      <alignment horizontal="center" vertical="center"/>
    </xf>
    <xf numFmtId="0" fontId="29" fillId="0" borderId="0" xfId="0" applyFont="1" applyFill="1" applyAlignment="1">
      <alignment horizontal="center" vertical="center"/>
    </xf>
    <xf numFmtId="9" fontId="23" fillId="21" borderId="15" xfId="0" applyNumberFormat="1" applyFont="1" applyFill="1" applyBorder="1" applyAlignment="1">
      <alignment horizontal="center" vertical="center"/>
    </xf>
    <xf numFmtId="9" fontId="23" fillId="0" borderId="0" xfId="0" applyNumberFormat="1" applyFont="1" applyFill="1" applyAlignment="1">
      <alignment horizontal="center" vertical="center"/>
    </xf>
    <xf numFmtId="0" fontId="31" fillId="0" borderId="0" xfId="0" applyFont="1" applyFill="1" applyAlignment="1">
      <alignment horizontal="center" vertical="center"/>
    </xf>
    <xf numFmtId="0" fontId="30" fillId="17" borderId="16" xfId="0" applyFont="1" applyFill="1" applyBorder="1" applyAlignment="1">
      <alignment horizontal="center" vertical="center" wrapText="1"/>
    </xf>
    <xf numFmtId="0" fontId="30" fillId="17" borderId="17" xfId="0" applyFont="1" applyFill="1" applyBorder="1" applyAlignment="1">
      <alignment horizontal="center" vertical="center" wrapText="1"/>
    </xf>
    <xf numFmtId="0" fontId="30" fillId="22" borderId="17" xfId="0" applyFont="1" applyFill="1" applyBorder="1" applyAlignment="1">
      <alignment horizontal="center" vertical="center" wrapText="1"/>
    </xf>
    <xf numFmtId="0" fontId="30" fillId="23" borderId="17" xfId="0" applyFont="1" applyFill="1" applyBorder="1" applyAlignment="1">
      <alignment horizontal="center" vertical="center" wrapText="1"/>
    </xf>
    <xf numFmtId="0" fontId="30" fillId="24" borderId="17" xfId="0" applyFont="1" applyFill="1" applyBorder="1" applyAlignment="1">
      <alignment horizontal="center" vertical="center" wrapText="1"/>
    </xf>
    <xf numFmtId="0" fontId="30" fillId="18" borderId="17" xfId="0" applyFont="1" applyFill="1" applyBorder="1" applyAlignment="1">
      <alignment horizontal="center" vertical="center" wrapText="1"/>
    </xf>
    <xf numFmtId="0" fontId="30" fillId="17" borderId="21" xfId="0" applyFont="1" applyFill="1" applyBorder="1" applyAlignment="1">
      <alignment horizontal="center" vertical="center" wrapText="1"/>
    </xf>
    <xf numFmtId="0" fontId="22" fillId="3" borderId="23" xfId="0" applyFont="1" applyFill="1" applyBorder="1" applyAlignment="1">
      <alignment horizontal="center" vertical="center" wrapText="1"/>
    </xf>
    <xf numFmtId="10" fontId="22" fillId="22" borderId="23" xfId="1" applyNumberFormat="1" applyFont="1" applyFill="1" applyBorder="1" applyAlignment="1">
      <alignment horizontal="center" vertical="center" wrapText="1"/>
    </xf>
    <xf numFmtId="10" fontId="22" fillId="23" borderId="23" xfId="1" applyNumberFormat="1" applyFont="1" applyFill="1" applyBorder="1" applyAlignment="1">
      <alignment horizontal="center" vertical="center" wrapText="1"/>
    </xf>
    <xf numFmtId="10" fontId="22" fillId="24" borderId="23" xfId="1" applyNumberFormat="1" applyFont="1" applyFill="1" applyBorder="1" applyAlignment="1">
      <alignment horizontal="center" vertical="center" wrapText="1"/>
    </xf>
    <xf numFmtId="10" fontId="22" fillId="19" borderId="23" xfId="1" applyNumberFormat="1" applyFont="1" applyFill="1" applyBorder="1" applyAlignment="1">
      <alignment horizontal="center" vertical="center" wrapText="1"/>
    </xf>
    <xf numFmtId="9" fontId="22" fillId="3" borderId="23" xfId="0" applyNumberFormat="1" applyFont="1" applyFill="1" applyBorder="1" applyAlignment="1">
      <alignment horizontal="center" vertical="center" wrapText="1"/>
    </xf>
    <xf numFmtId="0" fontId="22" fillId="0" borderId="23" xfId="0" applyFont="1" applyFill="1" applyBorder="1" applyAlignment="1">
      <alignment horizontal="center" vertical="center" wrapText="1"/>
    </xf>
    <xf numFmtId="9" fontId="22" fillId="0" borderId="23" xfId="1" applyFont="1" applyFill="1" applyBorder="1" applyAlignment="1">
      <alignment horizontal="center" vertical="center" wrapText="1"/>
    </xf>
    <xf numFmtId="9" fontId="22" fillId="20" borderId="23" xfId="1" applyFont="1" applyFill="1" applyBorder="1" applyAlignment="1">
      <alignment horizontal="center" vertical="center" wrapText="1"/>
    </xf>
    <xf numFmtId="9" fontId="22" fillId="7" borderId="23" xfId="0" applyNumberFormat="1" applyFont="1" applyFill="1" applyBorder="1" applyAlignment="1">
      <alignment horizontal="center" vertical="center" wrapText="1"/>
    </xf>
    <xf numFmtId="10" fontId="24" fillId="19" borderId="23" xfId="1" applyNumberFormat="1" applyFont="1" applyFill="1" applyBorder="1" applyAlignment="1">
      <alignment horizontal="center" vertical="center" wrapText="1"/>
    </xf>
    <xf numFmtId="0" fontId="36" fillId="0" borderId="23" xfId="0" applyFont="1" applyBorder="1" applyAlignment="1">
      <alignment horizontal="center" vertical="center"/>
    </xf>
    <xf numFmtId="10" fontId="22" fillId="20" borderId="23" xfId="1" applyNumberFormat="1" applyFont="1" applyFill="1" applyBorder="1" applyAlignment="1">
      <alignment horizontal="center" vertical="center" wrapText="1"/>
    </xf>
    <xf numFmtId="0" fontId="31" fillId="0" borderId="23" xfId="1" applyNumberFormat="1" applyFont="1" applyFill="1" applyBorder="1" applyAlignment="1">
      <alignment horizontal="center" vertical="center" wrapText="1"/>
    </xf>
    <xf numFmtId="10" fontId="22" fillId="22" borderId="1" xfId="1" applyNumberFormat="1" applyFont="1" applyFill="1" applyBorder="1" applyAlignment="1">
      <alignment horizontal="center" vertical="center" wrapText="1"/>
    </xf>
    <xf numFmtId="10" fontId="22" fillId="23" borderId="1" xfId="1" applyNumberFormat="1" applyFont="1" applyFill="1" applyBorder="1" applyAlignment="1">
      <alignment horizontal="center" vertical="center" wrapText="1"/>
    </xf>
    <xf numFmtId="10" fontId="22" fillId="24" borderId="1" xfId="1" applyNumberFormat="1" applyFont="1" applyFill="1" applyBorder="1" applyAlignment="1">
      <alignment horizontal="center" vertical="center" wrapText="1"/>
    </xf>
    <xf numFmtId="9" fontId="22" fillId="20" borderId="1" xfId="1" applyFont="1" applyFill="1" applyBorder="1" applyAlignment="1">
      <alignment horizontal="center" vertical="center" wrapText="1"/>
    </xf>
    <xf numFmtId="0" fontId="36"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22" fillId="3" borderId="28" xfId="0" applyFont="1" applyFill="1" applyBorder="1" applyAlignment="1">
      <alignment horizontal="center" vertical="center" wrapText="1"/>
    </xf>
    <xf numFmtId="10" fontId="22" fillId="22" borderId="28" xfId="1" applyNumberFormat="1" applyFont="1" applyFill="1" applyBorder="1" applyAlignment="1">
      <alignment horizontal="center" vertical="center" wrapText="1"/>
    </xf>
    <xf numFmtId="10" fontId="22" fillId="23" borderId="28" xfId="1" applyNumberFormat="1" applyFont="1" applyFill="1" applyBorder="1" applyAlignment="1">
      <alignment horizontal="center" vertical="center" wrapText="1"/>
    </xf>
    <xf numFmtId="10" fontId="22" fillId="24" borderId="28" xfId="1" applyNumberFormat="1" applyFont="1" applyFill="1" applyBorder="1" applyAlignment="1">
      <alignment horizontal="center" vertical="center" wrapText="1"/>
    </xf>
    <xf numFmtId="10" fontId="22" fillId="19" borderId="28" xfId="1" applyNumberFormat="1" applyFont="1" applyFill="1" applyBorder="1" applyAlignment="1">
      <alignment horizontal="center" vertical="center" wrapText="1"/>
    </xf>
    <xf numFmtId="10" fontId="24" fillId="19" borderId="28" xfId="1" applyNumberFormat="1" applyFont="1" applyFill="1" applyBorder="1" applyAlignment="1">
      <alignment horizontal="center" vertical="center" wrapText="1"/>
    </xf>
    <xf numFmtId="0" fontId="36" fillId="0" borderId="28" xfId="0" applyFont="1" applyBorder="1" applyAlignment="1">
      <alignment horizontal="center" vertical="center"/>
    </xf>
    <xf numFmtId="10" fontId="22" fillId="20" borderId="28" xfId="1" applyNumberFormat="1" applyFont="1" applyFill="1" applyBorder="1" applyAlignment="1">
      <alignment horizontal="center" vertical="center" wrapText="1"/>
    </xf>
    <xf numFmtId="0" fontId="31" fillId="0" borderId="28" xfId="1" applyNumberFormat="1" applyFont="1" applyFill="1" applyBorder="1" applyAlignment="1">
      <alignment horizontal="center" vertical="center" wrapText="1"/>
    </xf>
    <xf numFmtId="9" fontId="22" fillId="3" borderId="23" xfId="1" applyFont="1" applyFill="1" applyBorder="1" applyAlignment="1">
      <alignment horizontal="center" vertical="center" wrapText="1"/>
    </xf>
    <xf numFmtId="0" fontId="22" fillId="20" borderId="23" xfId="0" applyFont="1" applyFill="1" applyBorder="1" applyAlignment="1">
      <alignment horizontal="center" vertical="center" wrapText="1"/>
    </xf>
    <xf numFmtId="0" fontId="22" fillId="7" borderId="23" xfId="0" applyFont="1" applyFill="1" applyBorder="1" applyAlignment="1">
      <alignment horizontal="center" vertical="center" wrapText="1"/>
    </xf>
    <xf numFmtId="9" fontId="24" fillId="7" borderId="1" xfId="1" applyNumberFormat="1" applyFont="1" applyFill="1" applyBorder="1" applyAlignment="1">
      <alignment horizontal="center" vertical="center" wrapText="1"/>
    </xf>
    <xf numFmtId="9" fontId="24" fillId="7" borderId="28" xfId="1" applyNumberFormat="1" applyFont="1" applyFill="1" applyBorder="1" applyAlignment="1">
      <alignment horizontal="center" vertical="center" wrapText="1"/>
    </xf>
    <xf numFmtId="9" fontId="22" fillId="3" borderId="28" xfId="1" applyFont="1" applyFill="1" applyBorder="1" applyAlignment="1">
      <alignment horizontal="center" vertical="center" wrapText="1"/>
    </xf>
    <xf numFmtId="0" fontId="22" fillId="20" borderId="28" xfId="0" applyFont="1" applyFill="1" applyBorder="1" applyAlignment="1">
      <alignment horizontal="center" vertical="center" wrapText="1"/>
    </xf>
    <xf numFmtId="0" fontId="22" fillId="7" borderId="28" xfId="0" applyFont="1" applyFill="1" applyBorder="1" applyAlignment="1">
      <alignment horizontal="center" vertical="center" wrapText="1"/>
    </xf>
    <xf numFmtId="2" fontId="22" fillId="20" borderId="1" xfId="0" applyNumberFormat="1" applyFont="1" applyFill="1" applyBorder="1" applyAlignment="1">
      <alignment horizontal="center" vertical="center" wrapText="1"/>
    </xf>
    <xf numFmtId="165" fontId="1" fillId="7" borderId="1" xfId="0" applyNumberFormat="1" applyFont="1" applyFill="1" applyBorder="1" applyAlignment="1">
      <alignment horizontal="center" vertical="center" wrapText="1"/>
    </xf>
    <xf numFmtId="1" fontId="1" fillId="7" borderId="1" xfId="0" applyNumberFormat="1" applyFont="1" applyFill="1" applyBorder="1" applyAlignment="1">
      <alignment horizontal="center" vertical="center" wrapText="1"/>
    </xf>
    <xf numFmtId="2" fontId="22" fillId="0" borderId="0" xfId="0" applyNumberFormat="1" applyFont="1" applyAlignment="1">
      <alignment horizontal="center" vertical="center"/>
    </xf>
    <xf numFmtId="2" fontId="22" fillId="7" borderId="1" xfId="0" applyNumberFormat="1" applyFont="1" applyFill="1" applyBorder="1" applyAlignment="1">
      <alignment horizontal="center" vertical="center" wrapText="1"/>
    </xf>
    <xf numFmtId="0" fontId="38" fillId="0" borderId="1" xfId="0" applyFont="1" applyBorder="1" applyAlignment="1">
      <alignment horizontal="center" vertical="center"/>
    </xf>
    <xf numFmtId="0" fontId="38" fillId="0" borderId="30" xfId="0" applyFont="1" applyBorder="1" applyAlignment="1">
      <alignment horizontal="center" vertical="center"/>
    </xf>
    <xf numFmtId="0" fontId="39" fillId="0" borderId="1" xfId="0" applyFont="1" applyBorder="1" applyAlignment="1">
      <alignment horizontal="center" vertical="center"/>
    </xf>
    <xf numFmtId="9" fontId="0" fillId="3" borderId="1" xfId="1" applyFont="1" applyFill="1" applyBorder="1" applyAlignment="1">
      <alignment horizontal="center" vertical="center"/>
    </xf>
    <xf numFmtId="0" fontId="0" fillId="3" borderId="1" xfId="0" applyFill="1" applyBorder="1" applyAlignment="1">
      <alignment horizontal="left" vertical="center" wrapText="1"/>
    </xf>
    <xf numFmtId="0" fontId="40" fillId="26" borderId="1" xfId="0" applyFont="1" applyFill="1" applyBorder="1" applyAlignment="1">
      <alignment horizontal="center" vertical="center" wrapText="1"/>
    </xf>
    <xf numFmtId="9" fontId="0" fillId="0" borderId="1" xfId="0" applyNumberFormat="1" applyBorder="1" applyAlignment="1">
      <alignment horizontal="center" vertical="center"/>
    </xf>
    <xf numFmtId="9" fontId="0" fillId="0" borderId="1" xfId="1"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164" fontId="0" fillId="0" borderId="1" xfId="1" applyNumberFormat="1" applyFont="1" applyBorder="1" applyAlignment="1">
      <alignment horizontal="center" vertical="center"/>
    </xf>
    <xf numFmtId="9" fontId="0" fillId="0" borderId="1" xfId="1" applyFont="1" applyBorder="1" applyAlignment="1">
      <alignment horizontal="center" vertical="center"/>
    </xf>
    <xf numFmtId="0" fontId="0" fillId="3" borderId="0" xfId="0" applyFont="1" applyFill="1"/>
    <xf numFmtId="0" fontId="40" fillId="3" borderId="0" xfId="0" applyFont="1" applyFill="1" applyBorder="1" applyAlignment="1">
      <alignment horizontal="center" vertical="center" wrapText="1"/>
    </xf>
    <xf numFmtId="9" fontId="0" fillId="3" borderId="0" xfId="0" applyNumberFormat="1" applyFill="1" applyBorder="1" applyAlignment="1">
      <alignment horizontal="center" vertical="center" wrapText="1"/>
    </xf>
    <xf numFmtId="9" fontId="0" fillId="3" borderId="0" xfId="1" applyFont="1" applyFill="1" applyBorder="1" applyAlignment="1">
      <alignment horizontal="center" vertical="center" wrapText="1"/>
    </xf>
    <xf numFmtId="9" fontId="0" fillId="0" borderId="0" xfId="0" applyNumberFormat="1" applyBorder="1" applyAlignment="1">
      <alignment horizontal="center" vertical="center"/>
    </xf>
    <xf numFmtId="9" fontId="0" fillId="3" borderId="0" xfId="1" applyFont="1" applyFill="1" applyBorder="1" applyAlignment="1">
      <alignment horizontal="center" vertical="center"/>
    </xf>
    <xf numFmtId="0" fontId="0" fillId="7" borderId="1" xfId="0" applyFill="1" applyBorder="1" applyAlignment="1">
      <alignment horizontal="left" vertical="center" wrapText="1"/>
    </xf>
    <xf numFmtId="9" fontId="0" fillId="7" borderId="1" xfId="1" applyFont="1" applyFill="1" applyBorder="1" applyAlignment="1">
      <alignment horizontal="center" vertical="center"/>
    </xf>
    <xf numFmtId="164" fontId="26"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165" fontId="22" fillId="0" borderId="0" xfId="0" applyNumberFormat="1" applyFont="1" applyAlignment="1">
      <alignment horizontal="center" vertical="center"/>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9" fontId="24" fillId="7" borderId="28" xfId="1" applyFont="1" applyFill="1" applyBorder="1" applyAlignment="1">
      <alignment horizontal="center" vertical="center" wrapText="1"/>
    </xf>
    <xf numFmtId="0" fontId="3" fillId="2" borderId="6" xfId="0" applyFont="1" applyFill="1" applyBorder="1" applyAlignment="1">
      <alignment horizontal="center" vertical="center" wrapText="1"/>
    </xf>
    <xf numFmtId="0" fontId="22" fillId="3" borderId="26" xfId="0" applyFont="1" applyFill="1" applyBorder="1" applyAlignment="1">
      <alignment horizontal="left" vertical="center" wrapText="1"/>
    </xf>
    <xf numFmtId="0" fontId="22" fillId="3" borderId="24" xfId="0" applyFont="1" applyFill="1" applyBorder="1" applyAlignment="1">
      <alignment horizontal="left" vertical="center" wrapText="1"/>
    </xf>
    <xf numFmtId="0" fontId="22" fillId="3" borderId="29" xfId="0" applyFont="1" applyFill="1" applyBorder="1" applyAlignment="1">
      <alignment horizontal="left" vertical="center" wrapText="1"/>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10" fontId="24" fillId="19" borderId="2" xfId="1" applyNumberFormat="1" applyFont="1" applyFill="1" applyBorder="1" applyAlignment="1">
      <alignment horizontal="center" vertical="center" wrapText="1"/>
    </xf>
    <xf numFmtId="10" fontId="24" fillId="19" borderId="31" xfId="1" applyNumberFormat="1" applyFont="1" applyFill="1" applyBorder="1" applyAlignment="1">
      <alignment horizontal="center" vertical="center" wrapText="1"/>
    </xf>
    <xf numFmtId="0" fontId="22" fillId="3" borderId="2" xfId="0" applyFont="1" applyFill="1" applyBorder="1" applyAlignment="1">
      <alignment horizontal="center" vertical="center" wrapText="1"/>
    </xf>
    <xf numFmtId="9" fontId="32" fillId="7" borderId="2" xfId="1" applyFont="1" applyFill="1" applyBorder="1" applyAlignment="1">
      <alignment horizontal="center" vertical="center" wrapText="1"/>
    </xf>
    <xf numFmtId="10" fontId="22" fillId="22" borderId="2" xfId="1" applyNumberFormat="1" applyFont="1" applyFill="1" applyBorder="1" applyAlignment="1">
      <alignment horizontal="center" vertical="center" wrapText="1"/>
    </xf>
    <xf numFmtId="10" fontId="22" fillId="23" borderId="2" xfId="1" applyNumberFormat="1" applyFont="1" applyFill="1" applyBorder="1" applyAlignment="1">
      <alignment horizontal="center" vertical="center" wrapText="1"/>
    </xf>
    <xf numFmtId="10" fontId="22" fillId="24" borderId="2" xfId="1" applyNumberFormat="1" applyFont="1" applyFill="1" applyBorder="1" applyAlignment="1">
      <alignment horizontal="center" vertical="center" wrapText="1"/>
    </xf>
    <xf numFmtId="10" fontId="22" fillId="19" borderId="2" xfId="1" applyNumberFormat="1" applyFont="1" applyFill="1" applyBorder="1" applyAlignment="1">
      <alignment horizontal="center" vertical="center" wrapText="1"/>
    </xf>
    <xf numFmtId="9" fontId="22" fillId="3" borderId="2" xfId="0" applyNumberFormat="1" applyFont="1" applyFill="1" applyBorder="1" applyAlignment="1">
      <alignment horizontal="center" vertical="center" wrapText="1"/>
    </xf>
    <xf numFmtId="9" fontId="22" fillId="20" borderId="2" xfId="1" applyFont="1" applyFill="1" applyBorder="1" applyAlignment="1">
      <alignment horizontal="center" vertical="center" wrapText="1"/>
    </xf>
    <xf numFmtId="9" fontId="22" fillId="7" borderId="2" xfId="1" applyFont="1" applyFill="1" applyBorder="1" applyAlignment="1">
      <alignment horizontal="center" vertical="center" wrapText="1"/>
    </xf>
    <xf numFmtId="0" fontId="36" fillId="0" borderId="2" xfId="0" applyFont="1" applyBorder="1" applyAlignment="1">
      <alignment horizontal="center" vertical="center"/>
    </xf>
    <xf numFmtId="0" fontId="38" fillId="0" borderId="3" xfId="0" applyFont="1" applyBorder="1" applyAlignment="1">
      <alignment horizontal="center" vertical="center"/>
    </xf>
    <xf numFmtId="10" fontId="22" fillId="20" borderId="2" xfId="1" applyNumberFormat="1" applyFont="1" applyFill="1" applyBorder="1" applyAlignment="1">
      <alignment horizontal="center" vertical="center" wrapText="1"/>
    </xf>
    <xf numFmtId="0" fontId="31" fillId="0" borderId="2" xfId="1" applyNumberFormat="1" applyFont="1" applyFill="1" applyBorder="1" applyAlignment="1">
      <alignment horizontal="center" vertical="center" wrapText="1"/>
    </xf>
    <xf numFmtId="0" fontId="22" fillId="3" borderId="33" xfId="0" applyFont="1" applyFill="1" applyBorder="1" applyAlignment="1">
      <alignment horizontal="left" vertical="center" wrapText="1"/>
    </xf>
    <xf numFmtId="0" fontId="22" fillId="3" borderId="4" xfId="0" applyFont="1" applyFill="1" applyBorder="1" applyAlignment="1">
      <alignment horizontal="center" vertical="center" wrapText="1"/>
    </xf>
    <xf numFmtId="9" fontId="24" fillId="7" borderId="4" xfId="1" applyFont="1" applyFill="1" applyBorder="1" applyAlignment="1">
      <alignment horizontal="center" vertical="center" wrapText="1"/>
    </xf>
    <xf numFmtId="10" fontId="22" fillId="22" borderId="4" xfId="1" applyNumberFormat="1" applyFont="1" applyFill="1" applyBorder="1" applyAlignment="1">
      <alignment horizontal="center" vertical="center" wrapText="1"/>
    </xf>
    <xf numFmtId="10" fontId="22" fillId="23" borderId="4" xfId="1" applyNumberFormat="1" applyFont="1" applyFill="1" applyBorder="1" applyAlignment="1">
      <alignment horizontal="center" vertical="center" wrapText="1"/>
    </xf>
    <xf numFmtId="10" fontId="22" fillId="24" borderId="4" xfId="1" applyNumberFormat="1" applyFont="1" applyFill="1" applyBorder="1" applyAlignment="1">
      <alignment horizontal="center" vertical="center" wrapText="1"/>
    </xf>
    <xf numFmtId="10" fontId="22" fillId="19" borderId="4" xfId="1" applyNumberFormat="1" applyFont="1" applyFill="1" applyBorder="1" applyAlignment="1">
      <alignment horizontal="center" vertical="center" wrapText="1"/>
    </xf>
    <xf numFmtId="9" fontId="22" fillId="3" borderId="4" xfId="1" applyFont="1" applyFill="1" applyBorder="1" applyAlignment="1">
      <alignment horizontal="center" vertical="center" wrapText="1"/>
    </xf>
    <xf numFmtId="0" fontId="22" fillId="20" borderId="4"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3" xfId="0" applyFont="1" applyFill="1" applyBorder="1" applyAlignment="1">
      <alignment horizontal="center" vertical="center" wrapText="1"/>
    </xf>
    <xf numFmtId="10" fontId="24" fillId="19" borderId="4" xfId="1" applyNumberFormat="1" applyFont="1" applyFill="1" applyBorder="1" applyAlignment="1">
      <alignment horizontal="center" vertical="center" wrapText="1"/>
    </xf>
    <xf numFmtId="0" fontId="36" fillId="0" borderId="4" xfId="0" applyFont="1" applyBorder="1" applyAlignment="1">
      <alignment horizontal="center" vertical="center"/>
    </xf>
    <xf numFmtId="0" fontId="39" fillId="0" borderId="3" xfId="0" applyFont="1" applyBorder="1" applyAlignment="1">
      <alignment horizontal="center" vertical="center"/>
    </xf>
    <xf numFmtId="10" fontId="22" fillId="20" borderId="4" xfId="1" applyNumberFormat="1" applyFont="1" applyFill="1" applyBorder="1" applyAlignment="1">
      <alignment horizontal="center" vertical="center" wrapText="1"/>
    </xf>
    <xf numFmtId="0" fontId="31" fillId="0" borderId="4" xfId="1" applyNumberFormat="1" applyFont="1" applyFill="1" applyBorder="1" applyAlignment="1">
      <alignment horizontal="center" vertical="center" wrapText="1"/>
    </xf>
    <xf numFmtId="0" fontId="22" fillId="3" borderId="35" xfId="0" applyFont="1" applyFill="1" applyBorder="1" applyAlignment="1">
      <alignment horizontal="left" vertical="center" wrapText="1"/>
    </xf>
    <xf numFmtId="0" fontId="38" fillId="0" borderId="31" xfId="0" applyFont="1" applyBorder="1" applyAlignment="1">
      <alignment horizontal="center" vertical="center"/>
    </xf>
    <xf numFmtId="0" fontId="42" fillId="0" borderId="1" xfId="0" applyFont="1" applyBorder="1" applyAlignment="1">
      <alignment horizontal="center" vertical="center"/>
    </xf>
    <xf numFmtId="9" fontId="0" fillId="7" borderId="1" xfId="1" applyNumberFormat="1" applyFont="1" applyFill="1" applyBorder="1" applyAlignment="1">
      <alignment horizontal="center" vertical="center"/>
    </xf>
    <xf numFmtId="2" fontId="1" fillId="7" borderId="1" xfId="0" applyNumberFormat="1" applyFont="1" applyFill="1" applyBorder="1" applyAlignment="1">
      <alignment horizontal="center" vertical="center" wrapText="1"/>
    </xf>
    <xf numFmtId="0" fontId="6" fillId="0" borderId="37" xfId="0" applyFont="1" applyBorder="1" applyAlignment="1">
      <alignment horizontal="center" vertical="center"/>
    </xf>
    <xf numFmtId="0" fontId="0" fillId="0" borderId="38" xfId="0" applyBorder="1" applyAlignment="1">
      <alignment horizontal="center" vertical="center"/>
    </xf>
    <xf numFmtId="0" fontId="6" fillId="0" borderId="40" xfId="0" applyFont="1" applyBorder="1" applyAlignment="1">
      <alignment horizontal="center" vertical="center"/>
    </xf>
    <xf numFmtId="167" fontId="0" fillId="0" borderId="41" xfId="0" applyNumberFormat="1" applyBorder="1" applyAlignment="1">
      <alignment horizontal="center" vertical="center"/>
    </xf>
    <xf numFmtId="0" fontId="6" fillId="0" borderId="43" xfId="0" applyFont="1" applyBorder="1" applyAlignment="1">
      <alignment horizontal="center" vertical="center"/>
    </xf>
    <xf numFmtId="14" fontId="43" fillId="0" borderId="44" xfId="0" applyNumberFormat="1"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0" fillId="0" borderId="36" xfId="0" applyBorder="1" applyAlignment="1">
      <alignment horizontal="center" vertical="center"/>
    </xf>
    <xf numFmtId="0" fontId="0" fillId="0" borderId="39" xfId="0" applyBorder="1" applyAlignment="1">
      <alignment horizontal="center" vertical="center"/>
    </xf>
    <xf numFmtId="0" fontId="0" fillId="0" borderId="42" xfId="0" applyBorder="1" applyAlignment="1">
      <alignment horizontal="center" vertical="center"/>
    </xf>
    <xf numFmtId="0" fontId="5" fillId="0" borderId="47" xfId="0" applyFont="1" applyBorder="1" applyAlignment="1">
      <alignment horizontal="center" vertical="center"/>
    </xf>
    <xf numFmtId="0" fontId="5" fillId="0" borderId="19" xfId="0" applyFont="1" applyBorder="1" applyAlignment="1">
      <alignment horizontal="center" vertical="center"/>
    </xf>
    <xf numFmtId="0" fontId="5" fillId="0" borderId="48" xfId="0" applyFont="1" applyBorder="1" applyAlignment="1">
      <alignment horizontal="center" vertical="center"/>
    </xf>
    <xf numFmtId="9" fontId="23" fillId="19" borderId="4" xfId="0" applyNumberFormat="1" applyFont="1" applyFill="1" applyBorder="1" applyAlignment="1">
      <alignment horizontal="center" vertical="center" wrapText="1"/>
    </xf>
    <xf numFmtId="0" fontId="23" fillId="19" borderId="1" xfId="0" applyFont="1" applyFill="1" applyBorder="1" applyAlignment="1">
      <alignment horizontal="center" vertical="center" wrapText="1"/>
    </xf>
    <xf numFmtId="0" fontId="23" fillId="19" borderId="28" xfId="0" applyFont="1" applyFill="1" applyBorder="1" applyAlignment="1">
      <alignment horizontal="center" vertical="center" wrapText="1"/>
    </xf>
    <xf numFmtId="9" fontId="23" fillId="22" borderId="23" xfId="0" applyNumberFormat="1" applyFont="1" applyFill="1" applyBorder="1" applyAlignment="1">
      <alignment horizontal="center" vertical="center" wrapText="1"/>
    </xf>
    <xf numFmtId="0" fontId="23" fillId="22" borderId="1" xfId="0" applyFont="1" applyFill="1" applyBorder="1" applyAlignment="1">
      <alignment horizontal="center" vertical="center" wrapText="1"/>
    </xf>
    <xf numFmtId="9" fontId="23" fillId="23" borderId="23" xfId="1" applyFont="1" applyFill="1" applyBorder="1" applyAlignment="1">
      <alignment horizontal="center" vertical="center" wrapText="1"/>
    </xf>
    <xf numFmtId="9" fontId="23" fillId="23" borderId="1" xfId="1" applyFont="1" applyFill="1" applyBorder="1" applyAlignment="1">
      <alignment horizontal="center" vertical="center" wrapText="1"/>
    </xf>
    <xf numFmtId="9" fontId="23" fillId="24" borderId="23" xfId="1" applyFont="1" applyFill="1" applyBorder="1" applyAlignment="1">
      <alignment horizontal="center" vertical="center" wrapText="1"/>
    </xf>
    <xf numFmtId="9" fontId="23" fillId="24" borderId="1" xfId="1" applyFont="1" applyFill="1" applyBorder="1" applyAlignment="1">
      <alignment horizontal="center" vertical="center" wrapText="1"/>
    </xf>
    <xf numFmtId="9" fontId="23" fillId="19" borderId="23" xfId="0" applyNumberFormat="1" applyFont="1" applyFill="1" applyBorder="1" applyAlignment="1">
      <alignment horizontal="center" vertical="center" wrapText="1"/>
    </xf>
    <xf numFmtId="9" fontId="23" fillId="19" borderId="1" xfId="0" applyNumberFormat="1" applyFont="1" applyFill="1" applyBorder="1" applyAlignment="1">
      <alignment horizontal="center" vertical="center" wrapText="1"/>
    </xf>
    <xf numFmtId="9" fontId="23" fillId="22" borderId="1" xfId="0" applyNumberFormat="1" applyFont="1" applyFill="1" applyBorder="1" applyAlignment="1">
      <alignment horizontal="center" vertical="center" wrapText="1"/>
    </xf>
    <xf numFmtId="0" fontId="23" fillId="22" borderId="28" xfId="0" applyFont="1" applyFill="1" applyBorder="1" applyAlignment="1">
      <alignment horizontal="center" vertical="center" wrapText="1"/>
    </xf>
    <xf numFmtId="9" fontId="23" fillId="23" borderId="1" xfId="0" applyNumberFormat="1" applyFont="1" applyFill="1" applyBorder="1" applyAlignment="1">
      <alignment horizontal="center" vertical="center" wrapText="1"/>
    </xf>
    <xf numFmtId="9" fontId="23" fillId="23" borderId="28" xfId="0" applyNumberFormat="1" applyFont="1" applyFill="1" applyBorder="1" applyAlignment="1">
      <alignment horizontal="center" vertical="center" wrapText="1"/>
    </xf>
    <xf numFmtId="9" fontId="23" fillId="24" borderId="1" xfId="0" applyNumberFormat="1" applyFont="1" applyFill="1" applyBorder="1" applyAlignment="1">
      <alignment horizontal="center" vertical="center" wrapText="1"/>
    </xf>
    <xf numFmtId="9" fontId="23" fillId="24" borderId="28" xfId="0" applyNumberFormat="1" applyFont="1" applyFill="1" applyBorder="1" applyAlignment="1">
      <alignment horizontal="center" vertical="center" wrapText="1"/>
    </xf>
    <xf numFmtId="9" fontId="23" fillId="22" borderId="4" xfId="0" applyNumberFormat="1" applyFont="1" applyFill="1" applyBorder="1" applyAlignment="1">
      <alignment horizontal="center" vertical="center" wrapText="1"/>
    </xf>
    <xf numFmtId="9" fontId="23" fillId="23" borderId="4" xfId="0" applyNumberFormat="1" applyFont="1" applyFill="1" applyBorder="1" applyAlignment="1">
      <alignment horizontal="center" vertical="center" wrapText="1"/>
    </xf>
    <xf numFmtId="9" fontId="23" fillId="24" borderId="4" xfId="0" applyNumberFormat="1" applyFont="1" applyFill="1" applyBorder="1" applyAlignment="1">
      <alignment horizontal="center" vertical="center" wrapText="1"/>
    </xf>
    <xf numFmtId="0" fontId="30" fillId="17" borderId="18" xfId="0" applyFont="1" applyFill="1" applyBorder="1" applyAlignment="1">
      <alignment horizontal="center" vertical="center" wrapText="1"/>
    </xf>
    <xf numFmtId="0" fontId="30" fillId="17" borderId="19" xfId="0" applyFont="1" applyFill="1" applyBorder="1" applyAlignment="1">
      <alignment horizontal="center" vertical="center" wrapText="1"/>
    </xf>
    <xf numFmtId="0" fontId="30" fillId="17" borderId="20" xfId="0" applyFont="1" applyFill="1" applyBorder="1" applyAlignment="1">
      <alignment horizontal="center" vertical="center" wrapText="1"/>
    </xf>
    <xf numFmtId="9" fontId="22" fillId="24" borderId="23" xfId="1" applyFont="1" applyFill="1" applyBorder="1" applyAlignment="1">
      <alignment horizontal="center" vertical="center" wrapText="1"/>
    </xf>
    <xf numFmtId="9" fontId="22" fillId="24" borderId="1" xfId="1" applyFont="1" applyFill="1" applyBorder="1" applyAlignment="1">
      <alignment horizontal="center" vertical="center" wrapText="1"/>
    </xf>
    <xf numFmtId="9" fontId="22" fillId="24" borderId="2" xfId="1" applyFont="1" applyFill="1" applyBorder="1" applyAlignment="1">
      <alignment horizontal="center" vertical="center" wrapText="1"/>
    </xf>
    <xf numFmtId="164" fontId="22" fillId="19" borderId="23" xfId="0" applyNumberFormat="1"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2" fillId="19" borderId="2" xfId="0" applyFont="1" applyFill="1" applyBorder="1" applyAlignment="1">
      <alignment horizontal="center" vertical="center" wrapText="1"/>
    </xf>
    <xf numFmtId="164" fontId="23" fillId="22" borderId="23" xfId="0" applyNumberFormat="1" applyFont="1" applyFill="1" applyBorder="1" applyAlignment="1">
      <alignment horizontal="center" vertical="center" wrapText="1"/>
    </xf>
    <xf numFmtId="164" fontId="23" fillId="22" borderId="1" xfId="0" applyNumberFormat="1" applyFont="1" applyFill="1" applyBorder="1" applyAlignment="1">
      <alignment horizontal="center" vertical="center" wrapText="1"/>
    </xf>
    <xf numFmtId="164" fontId="23" fillId="23" borderId="23" xfId="0" applyNumberFormat="1" applyFont="1" applyFill="1" applyBorder="1" applyAlignment="1">
      <alignment horizontal="center" vertical="center" wrapText="1"/>
    </xf>
    <xf numFmtId="164" fontId="23" fillId="23" borderId="1" xfId="0" applyNumberFormat="1" applyFont="1" applyFill="1" applyBorder="1" applyAlignment="1">
      <alignment horizontal="center" vertical="center" wrapText="1"/>
    </xf>
    <xf numFmtId="164" fontId="23" fillId="24" borderId="23" xfId="0" applyNumberFormat="1" applyFont="1" applyFill="1" applyBorder="1" applyAlignment="1">
      <alignment horizontal="center" vertical="center" wrapText="1"/>
    </xf>
    <xf numFmtId="164" fontId="23" fillId="24" borderId="1" xfId="0" applyNumberFormat="1" applyFont="1" applyFill="1" applyBorder="1" applyAlignment="1">
      <alignment horizontal="center" vertical="center" wrapText="1"/>
    </xf>
    <xf numFmtId="164" fontId="23" fillId="19" borderId="23" xfId="0" applyNumberFormat="1" applyFont="1" applyFill="1" applyBorder="1" applyAlignment="1">
      <alignment horizontal="center" vertical="center" wrapText="1"/>
    </xf>
    <xf numFmtId="164" fontId="23" fillId="19" borderId="1" xfId="0" applyNumberFormat="1" applyFont="1" applyFill="1" applyBorder="1" applyAlignment="1">
      <alignment horizontal="center" vertical="center" wrapText="1"/>
    </xf>
    <xf numFmtId="0" fontId="23" fillId="22" borderId="2" xfId="0" applyFont="1" applyFill="1" applyBorder="1" applyAlignment="1">
      <alignment horizontal="center" vertical="center" wrapText="1"/>
    </xf>
    <xf numFmtId="9" fontId="23" fillId="23" borderId="2" xfId="0" applyNumberFormat="1" applyFont="1" applyFill="1" applyBorder="1" applyAlignment="1">
      <alignment horizontal="center" vertical="center" wrapText="1"/>
    </xf>
    <xf numFmtId="9" fontId="23" fillId="24" borderId="2" xfId="0" applyNumberFormat="1" applyFont="1" applyFill="1" applyBorder="1" applyAlignment="1">
      <alignment horizontal="center" vertical="center" wrapText="1"/>
    </xf>
    <xf numFmtId="0" fontId="23" fillId="19" borderId="2" xfId="0" applyFont="1" applyFill="1" applyBorder="1" applyAlignment="1">
      <alignment horizontal="center" vertical="center" wrapText="1"/>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9" fontId="24" fillId="7" borderId="2" xfId="1"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1" xfId="0" applyFont="1" applyFill="1" applyBorder="1" applyAlignment="1">
      <alignment horizontal="center" vertical="center" wrapText="1"/>
    </xf>
    <xf numFmtId="9" fontId="22" fillId="24" borderId="23" xfId="0" applyNumberFormat="1" applyFont="1" applyFill="1" applyBorder="1" applyAlignment="1">
      <alignment horizontal="center" vertical="center" wrapText="1"/>
    </xf>
    <xf numFmtId="9" fontId="22" fillId="24" borderId="1" xfId="0" applyNumberFormat="1" applyFont="1" applyFill="1" applyBorder="1" applyAlignment="1">
      <alignment horizontal="center" vertical="center" wrapText="1"/>
    </xf>
    <xf numFmtId="9" fontId="22" fillId="24" borderId="28" xfId="0" applyNumberFormat="1" applyFont="1" applyFill="1" applyBorder="1" applyAlignment="1">
      <alignment horizontal="center" vertical="center" wrapText="1"/>
    </xf>
    <xf numFmtId="9" fontId="22" fillId="19" borderId="23" xfId="0" applyNumberFormat="1" applyFont="1" applyFill="1" applyBorder="1" applyAlignment="1">
      <alignment horizontal="center" vertical="center" wrapText="1"/>
    </xf>
    <xf numFmtId="0" fontId="22" fillId="19" borderId="28" xfId="0" applyFont="1" applyFill="1" applyBorder="1" applyAlignment="1">
      <alignment horizontal="center" vertical="center" wrapText="1"/>
    </xf>
    <xf numFmtId="9" fontId="22" fillId="24" borderId="4" xfId="0" applyNumberFormat="1" applyFont="1" applyFill="1" applyBorder="1" applyAlignment="1">
      <alignment horizontal="center" vertical="center" wrapText="1"/>
    </xf>
    <xf numFmtId="9" fontId="22" fillId="19" borderId="4" xfId="0" applyNumberFormat="1" applyFont="1" applyFill="1" applyBorder="1" applyAlignment="1">
      <alignment horizontal="center" vertical="center" wrapText="1"/>
    </xf>
    <xf numFmtId="9" fontId="22" fillId="19" borderId="1" xfId="0" applyNumberFormat="1" applyFont="1" applyFill="1" applyBorder="1" applyAlignment="1">
      <alignment horizontal="center" vertical="center" wrapText="1"/>
    </xf>
    <xf numFmtId="9" fontId="22" fillId="19" borderId="28" xfId="0" applyNumberFormat="1"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28" xfId="0" applyFont="1" applyFill="1" applyBorder="1" applyAlignment="1">
      <alignment horizontal="center" vertical="center" wrapText="1"/>
    </xf>
    <xf numFmtId="9" fontId="24" fillId="7" borderId="4" xfId="1" applyFont="1" applyFill="1" applyBorder="1" applyAlignment="1">
      <alignment horizontal="center" vertical="center" wrapText="1"/>
    </xf>
    <xf numFmtId="9" fontId="24" fillId="7" borderId="28" xfId="1" applyFont="1" applyFill="1" applyBorder="1" applyAlignment="1">
      <alignment horizontal="center" vertical="center" wrapText="1"/>
    </xf>
    <xf numFmtId="0" fontId="24" fillId="0" borderId="3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7" xfId="0" applyFont="1" applyBorder="1" applyAlignment="1">
      <alignment horizontal="center" vertical="center" wrapText="1"/>
    </xf>
    <xf numFmtId="9" fontId="22" fillId="22" borderId="4" xfId="0" applyNumberFormat="1" applyFont="1" applyFill="1" applyBorder="1" applyAlignment="1">
      <alignment horizontal="center" vertical="center" wrapText="1"/>
    </xf>
    <xf numFmtId="0" fontId="22" fillId="22" borderId="1" xfId="0" applyFont="1" applyFill="1" applyBorder="1" applyAlignment="1">
      <alignment horizontal="center" vertical="center" wrapText="1"/>
    </xf>
    <xf numFmtId="0" fontId="22" fillId="22" borderId="28" xfId="0" applyFont="1" applyFill="1" applyBorder="1" applyAlignment="1">
      <alignment horizontal="center" vertical="center" wrapText="1"/>
    </xf>
    <xf numFmtId="9" fontId="22" fillId="23" borderId="4" xfId="0" applyNumberFormat="1" applyFont="1" applyFill="1" applyBorder="1" applyAlignment="1">
      <alignment horizontal="center" vertical="center" wrapText="1"/>
    </xf>
    <xf numFmtId="9" fontId="22" fillId="23" borderId="1" xfId="0" applyNumberFormat="1" applyFont="1" applyFill="1" applyBorder="1" applyAlignment="1">
      <alignment horizontal="center" vertical="center" wrapText="1"/>
    </xf>
    <xf numFmtId="9" fontId="22" fillId="23" borderId="28" xfId="0" applyNumberFormat="1" applyFont="1" applyFill="1" applyBorder="1" applyAlignment="1">
      <alignment horizontal="center" vertical="center" wrapText="1"/>
    </xf>
    <xf numFmtId="0" fontId="24" fillId="0" borderId="22" xfId="0" applyFont="1" applyBorder="1" applyAlignment="1">
      <alignment horizontal="center" vertical="center" wrapText="1"/>
    </xf>
    <xf numFmtId="9" fontId="22" fillId="22" borderId="23" xfId="0" applyNumberFormat="1" applyFont="1" applyFill="1" applyBorder="1" applyAlignment="1">
      <alignment horizontal="center" vertical="center" wrapText="1"/>
    </xf>
    <xf numFmtId="9" fontId="22" fillId="23" borderId="23" xfId="0" applyNumberFormat="1" applyFont="1" applyFill="1" applyBorder="1" applyAlignment="1">
      <alignment horizontal="center" vertical="center" wrapText="1"/>
    </xf>
    <xf numFmtId="0" fontId="24" fillId="0" borderId="32" xfId="0" applyFont="1" applyBorder="1" applyAlignment="1">
      <alignment horizontal="center" vertical="center" wrapText="1"/>
    </xf>
    <xf numFmtId="164" fontId="22" fillId="22" borderId="23" xfId="0" applyNumberFormat="1" applyFont="1" applyFill="1" applyBorder="1" applyAlignment="1">
      <alignment horizontal="center" vertical="center" wrapText="1"/>
    </xf>
    <xf numFmtId="0" fontId="22" fillId="22" borderId="2" xfId="0" applyFont="1" applyFill="1" applyBorder="1" applyAlignment="1">
      <alignment horizontal="center" vertical="center" wrapText="1"/>
    </xf>
    <xf numFmtId="9" fontId="22" fillId="23" borderId="23" xfId="1" applyFont="1" applyFill="1" applyBorder="1" applyAlignment="1">
      <alignment horizontal="center" vertical="center" wrapText="1"/>
    </xf>
    <xf numFmtId="9" fontId="22" fillId="23" borderId="1" xfId="1" applyFont="1" applyFill="1" applyBorder="1" applyAlignment="1">
      <alignment horizontal="center" vertical="center" wrapText="1"/>
    </xf>
    <xf numFmtId="9" fontId="22" fillId="23" borderId="2" xfId="1" applyFont="1" applyFill="1" applyBorder="1" applyAlignment="1">
      <alignment horizontal="center" vertical="center" wrapText="1"/>
    </xf>
    <xf numFmtId="0" fontId="24" fillId="3" borderId="2" xfId="0" applyFont="1" applyFill="1" applyBorder="1" applyAlignment="1">
      <alignment horizontal="center" vertical="center" wrapText="1"/>
    </xf>
    <xf numFmtId="0" fontId="5" fillId="0" borderId="0" xfId="0" applyFont="1"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9" fontId="1" fillId="7" borderId="6" xfId="1" applyFont="1" applyFill="1" applyBorder="1" applyAlignment="1">
      <alignment horizontal="center" vertical="center" wrapText="1"/>
    </xf>
    <xf numFmtId="9" fontId="1" fillId="7" borderId="7" xfId="1" applyFont="1" applyFill="1" applyBorder="1" applyAlignment="1">
      <alignment horizontal="center" vertical="center" wrapText="1"/>
    </xf>
    <xf numFmtId="0" fontId="5" fillId="0" borderId="5" xfId="0" applyFont="1" applyBorder="1" applyAlignment="1">
      <alignment horizont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6" fillId="14" borderId="12" xfId="0" applyFont="1" applyFill="1" applyBorder="1" applyAlignment="1">
      <alignment horizontal="left" vertical="top" wrapText="1"/>
    </xf>
    <xf numFmtId="0" fontId="16" fillId="14" borderId="13" xfId="0" applyFont="1" applyFill="1" applyBorder="1" applyAlignment="1">
      <alignment horizontal="left" vertical="top" wrapText="1"/>
    </xf>
    <xf numFmtId="0" fontId="0" fillId="7" borderId="15" xfId="0" applyFill="1" applyBorder="1" applyAlignment="1">
      <alignment horizontal="center" vertical="center"/>
    </xf>
    <xf numFmtId="0" fontId="0" fillId="0" borderId="15" xfId="0" applyBorder="1" applyAlignment="1">
      <alignment horizontal="center" vertical="center"/>
    </xf>
    <xf numFmtId="0" fontId="1" fillId="3" borderId="0" xfId="0" applyFont="1" applyFill="1" applyBorder="1" applyAlignment="1">
      <alignment horizontal="center" vertical="center" wrapText="1"/>
    </xf>
    <xf numFmtId="2" fontId="31" fillId="0" borderId="1" xfId="1" applyNumberFormat="1" applyFont="1" applyFill="1" applyBorder="1" applyAlignment="1">
      <alignment horizontal="center" vertical="center" wrapText="1"/>
    </xf>
  </cellXfs>
  <cellStyles count="3">
    <cellStyle name="Moneda [0]" xfId="2" builtinId="7"/>
    <cellStyle name="Normal" xfId="0" builtinId="0"/>
    <cellStyle name="Porcentaje" xfId="1" builtinId="5"/>
  </cellStyles>
  <dxfs count="23">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rgb="FF00B050"/>
      </font>
    </dxf>
    <dxf>
      <font>
        <color rgb="FFFF0000"/>
      </font>
    </dxf>
    <dxf>
      <font>
        <color rgb="FFFFC000"/>
      </font>
    </dxf>
    <dxf>
      <font>
        <color theme="1" tint="0.499984740745262"/>
      </font>
    </dxf>
  </dxfs>
  <tableStyles count="0" defaultTableStyle="TableStyleMedium2" defaultPivotStyle="PivotStyleLight16"/>
  <colors>
    <mruColors>
      <color rgb="FFFF3300"/>
      <color rgb="FF3333CC"/>
      <color rgb="FFFF99FF"/>
      <color rgb="FF339966"/>
      <color rgb="FF009999"/>
      <color rgb="FFCC3300"/>
      <color rgb="FFEABC3A"/>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gráficas!$B$3</c:f>
              <c:strCache>
                <c:ptCount val="1"/>
                <c:pt idx="0">
                  <c:v>% Avance global Plan de Acción
Vigencia 2019</c:v>
                </c:pt>
              </c:strCache>
            </c:strRef>
          </c:tx>
          <c:spPr>
            <a:solidFill>
              <a:schemeClr val="accent1"/>
            </a:solidFill>
            <a:ln>
              <a:noFill/>
            </a:ln>
            <a:effectLst/>
            <a:scene3d>
              <a:camera prst="orthographicFront"/>
              <a:lightRig rig="threePt" dir="t"/>
            </a:scene3d>
            <a:sp3d>
              <a:bevelT/>
            </a:sp3d>
          </c:spPr>
          <c:invertIfNegative val="0"/>
          <c:dPt>
            <c:idx val="0"/>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8-5D33-4BF1-A145-9153AA21C2FB}"/>
              </c:ext>
            </c:extLst>
          </c:dPt>
          <c:dPt>
            <c:idx val="1"/>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1-5D33-4BF1-A145-9153AA21C2F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gráficas!$C$2:$D$2</c:f>
              <c:strCache>
                <c:ptCount val="2"/>
                <c:pt idx="0">
                  <c:v>META</c:v>
                </c:pt>
                <c:pt idx="1">
                  <c:v>EJECUCIÓN</c:v>
                </c:pt>
              </c:strCache>
            </c:strRef>
          </c:cat>
          <c:val>
            <c:numRef>
              <c:f>gráficas!$C$3:$D$3</c:f>
              <c:numCache>
                <c:formatCode>0.0%</c:formatCode>
                <c:ptCount val="2"/>
                <c:pt idx="0" formatCode="0%">
                  <c:v>1</c:v>
                </c:pt>
                <c:pt idx="1">
                  <c:v>0.49653428782829384</c:v>
                </c:pt>
              </c:numCache>
            </c:numRef>
          </c:val>
          <c:extLst>
            <c:ext xmlns:c16="http://schemas.microsoft.com/office/drawing/2014/chart" uri="{C3380CC4-5D6E-409C-BE32-E72D297353CC}">
              <c16:uniqueId val="{00000002-5D33-4BF1-A145-9153AA21C2FB}"/>
            </c:ext>
          </c:extLst>
        </c:ser>
        <c:dLbls>
          <c:dLblPos val="outEnd"/>
          <c:showLegendKey val="0"/>
          <c:showVal val="1"/>
          <c:showCatName val="0"/>
          <c:showSerName val="0"/>
          <c:showPercent val="0"/>
          <c:showBubbleSize val="0"/>
        </c:dLbls>
        <c:gapWidth val="219"/>
        <c:overlap val="-27"/>
        <c:axId val="192731432"/>
        <c:axId val="192734712"/>
      </c:barChart>
      <c:catAx>
        <c:axId val="19273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734712"/>
        <c:crosses val="autoZero"/>
        <c:auto val="1"/>
        <c:lblAlgn val="ctr"/>
        <c:lblOffset val="100"/>
        <c:noMultiLvlLbl val="0"/>
      </c:catAx>
      <c:valAx>
        <c:axId val="192734712"/>
        <c:scaling>
          <c:orientation val="minMax"/>
        </c:scaling>
        <c:delete val="1"/>
        <c:axPos val="l"/>
        <c:numFmt formatCode="0%" sourceLinked="1"/>
        <c:majorTickMark val="none"/>
        <c:minorTickMark val="none"/>
        <c:tickLblPos val="nextTo"/>
        <c:crossAx val="192731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DE AVANCE OBJETIVOS ESTRATÉGICOS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solidFill>
              <a:schemeClr val="accent2"/>
            </a:solidFill>
            <a:ln>
              <a:noFill/>
            </a:ln>
            <a:effectLst/>
            <a:scene3d>
              <a:camera prst="orthographicFront"/>
              <a:lightRig rig="threePt" dir="t"/>
            </a:scene3d>
            <a:sp3d>
              <a:bevelT/>
            </a:sp3d>
          </c:spPr>
          <c:invertIfNegative val="0"/>
          <c:dPt>
            <c:idx val="0"/>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2-68BD-447D-AD67-E5DDB244A6EA}"/>
              </c:ext>
            </c:extLst>
          </c:dPt>
          <c:dPt>
            <c:idx val="1"/>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4-68BD-447D-AD67-E5DDB244A6EA}"/>
              </c:ext>
            </c:extLst>
          </c:dPt>
          <c:dPt>
            <c:idx val="2"/>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6-68BD-447D-AD67-E5DDB244A6EA}"/>
              </c:ext>
            </c:extLst>
          </c:dPt>
          <c:dPt>
            <c:idx val="3"/>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8-68BD-447D-AD67-E5DDB244A6EA}"/>
              </c:ext>
            </c:extLst>
          </c:dPt>
          <c:dPt>
            <c:idx val="4"/>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A-68BD-447D-AD67-E5DDB244A6E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gráficas!$B$38:$B$42</c:f>
              <c:strCache>
                <c:ptCount val="5"/>
                <c:pt idx="0">
                  <c:v>1.1  Fortalecer la institucionalidad de la Entidad</c:v>
                </c:pt>
                <c:pt idx="1">
                  <c:v>1.2 Generar confianza en los ciudadanos, Estado e inversionistas</c:v>
                </c:pt>
                <c:pt idx="2">
                  <c:v>2.1 Estructurar proyectos de infraestructura de transporte </c:v>
                </c:pt>
                <c:pt idx="3">
                  <c:v>2.2 Gestionar la ejecución de los  proyectos de infraestructura  de transporte</c:v>
                </c:pt>
                <c:pt idx="4">
                  <c:v>3.1 Ejecutar los proyectos de cuarta generación</c:v>
                </c:pt>
              </c:strCache>
            </c:strRef>
          </c:cat>
          <c:val>
            <c:numRef>
              <c:f>gráficas!$D$38:$D$42</c:f>
              <c:numCache>
                <c:formatCode>0%</c:formatCode>
                <c:ptCount val="5"/>
                <c:pt idx="0">
                  <c:v>1</c:v>
                </c:pt>
                <c:pt idx="1">
                  <c:v>1</c:v>
                </c:pt>
                <c:pt idx="2">
                  <c:v>1</c:v>
                </c:pt>
                <c:pt idx="3">
                  <c:v>0.87828798825920085</c:v>
                </c:pt>
                <c:pt idx="4">
                  <c:v>1.0153460031347961</c:v>
                </c:pt>
              </c:numCache>
            </c:numRef>
          </c:val>
          <c:extLst>
            <c:ext xmlns:c16="http://schemas.microsoft.com/office/drawing/2014/chart" uri="{C3380CC4-5D6E-409C-BE32-E72D297353CC}">
              <c16:uniqueId val="{0000000B-68BD-447D-AD67-E5DDB244A6EA}"/>
            </c:ext>
          </c:extLst>
        </c:ser>
        <c:dLbls>
          <c:dLblPos val="outEnd"/>
          <c:showLegendKey val="0"/>
          <c:showVal val="1"/>
          <c:showCatName val="0"/>
          <c:showSerName val="0"/>
          <c:showPercent val="0"/>
          <c:showBubbleSize val="0"/>
        </c:dLbls>
        <c:gapWidth val="219"/>
        <c:overlap val="-27"/>
        <c:axId val="590992728"/>
        <c:axId val="590996336"/>
      </c:barChart>
      <c:catAx>
        <c:axId val="590992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0996336"/>
        <c:crosses val="autoZero"/>
        <c:auto val="1"/>
        <c:lblAlgn val="ctr"/>
        <c:lblOffset val="100"/>
        <c:noMultiLvlLbl val="0"/>
      </c:catAx>
      <c:valAx>
        <c:axId val="590996336"/>
        <c:scaling>
          <c:orientation val="minMax"/>
        </c:scaling>
        <c:delete val="1"/>
        <c:axPos val="l"/>
        <c:numFmt formatCode="0%" sourceLinked="1"/>
        <c:majorTickMark val="none"/>
        <c:minorTickMark val="none"/>
        <c:tickLblPos val="nextTo"/>
        <c:crossAx val="59099272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AVANCE POR FOCO</a:t>
            </a:r>
            <a:r>
              <a:rPr lang="es-CO" baseline="0"/>
              <a:t> ESTRATÉGICO</a:t>
            </a:r>
          </a:p>
          <a:p>
            <a:pPr>
              <a:defRPr/>
            </a:pPr>
            <a:r>
              <a:rPr lang="es-CO" sz="1100"/>
              <a:t>(Con respecto a meta acumulada del corte)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noFill/>
            </a:ln>
            <a:effectLst/>
            <a:scene3d>
              <a:camera prst="orthographicFront"/>
              <a:lightRig rig="threePt" dir="t"/>
            </a:scene3d>
            <a:sp3d>
              <a:bevelT/>
            </a:sp3d>
          </c:spPr>
          <c:invertIfNegative val="0"/>
          <c:dPt>
            <c:idx val="0"/>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4-5739-461E-B302-2DB27C88E254}"/>
              </c:ext>
            </c:extLst>
          </c:dPt>
          <c:dPt>
            <c:idx val="1"/>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2-D02F-4DDC-99FC-F9EEE9AA936E}"/>
              </c:ext>
            </c:extLst>
          </c:dPt>
          <c:dPt>
            <c:idx val="2"/>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3-D02F-4DDC-99FC-F9EEE9AA93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gráficas!$B$25:$B$27</c:f>
              <c:strCache>
                <c:ptCount val="3"/>
                <c:pt idx="0">
                  <c:v>Foco 1. Gobernanza e institucionalidad moderna para el transporte y la logística eficientes y seguros</c:v>
                </c:pt>
                <c:pt idx="1">
                  <c:v>Foco 2.Desarrollar proyectos de Asociación Público Privada que propendan por la intermodalidad, la movilidad y la sostenibilidad</c:v>
                </c:pt>
                <c:pt idx="2">
                  <c:v>Foco 3: Desarrollar la infraestructura de transporte de 4G</c:v>
                </c:pt>
              </c:strCache>
            </c:strRef>
          </c:cat>
          <c:val>
            <c:numRef>
              <c:f>gráficas!$D$25:$D$27</c:f>
              <c:numCache>
                <c:formatCode>0%</c:formatCode>
                <c:ptCount val="3"/>
                <c:pt idx="0">
                  <c:v>1</c:v>
                </c:pt>
                <c:pt idx="1">
                  <c:v>0.93670975389478439</c:v>
                </c:pt>
                <c:pt idx="2">
                  <c:v>1.0153460031347961</c:v>
                </c:pt>
              </c:numCache>
            </c:numRef>
          </c:val>
          <c:extLst>
            <c:ext xmlns:c16="http://schemas.microsoft.com/office/drawing/2014/chart" uri="{C3380CC4-5D6E-409C-BE32-E72D297353CC}">
              <c16:uniqueId val="{00000000-D02F-4DDC-99FC-F9EEE9AA936E}"/>
            </c:ext>
          </c:extLst>
        </c:ser>
        <c:dLbls>
          <c:dLblPos val="outEnd"/>
          <c:showLegendKey val="0"/>
          <c:showVal val="1"/>
          <c:showCatName val="0"/>
          <c:showSerName val="0"/>
          <c:showPercent val="0"/>
          <c:showBubbleSize val="0"/>
        </c:dLbls>
        <c:gapWidth val="219"/>
        <c:axId val="539960752"/>
        <c:axId val="539961080"/>
      </c:barChart>
      <c:catAx>
        <c:axId val="5399607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9961080"/>
        <c:crosses val="autoZero"/>
        <c:auto val="1"/>
        <c:lblAlgn val="ctr"/>
        <c:lblOffset val="100"/>
        <c:noMultiLvlLbl val="0"/>
      </c:catAx>
      <c:valAx>
        <c:axId val="539961080"/>
        <c:scaling>
          <c:orientation val="minMax"/>
          <c:min val="0.5"/>
        </c:scaling>
        <c:delete val="1"/>
        <c:axPos val="l"/>
        <c:numFmt formatCode="0%" sourceLinked="1"/>
        <c:majorTickMark val="out"/>
        <c:minorTickMark val="none"/>
        <c:tickLblPos val="nextTo"/>
        <c:crossAx val="539960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Avance Plan de Acción
</a:t>
            </a:r>
            <a:r>
              <a:rPr lang="en-US" sz="1100"/>
              <a:t>(Respecto a meta acumulada al corte)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gráficas!$B$4</c:f>
              <c:strCache>
                <c:ptCount val="1"/>
                <c:pt idx="0">
                  <c:v>% Avance Plan de Acción
(Respecto a meta acumulada al corte)</c:v>
                </c:pt>
              </c:strCache>
            </c:strRef>
          </c:tx>
          <c:spPr>
            <a:solidFill>
              <a:schemeClr val="accent1"/>
            </a:solidFill>
            <a:ln>
              <a:noFill/>
            </a:ln>
            <a:effectLst/>
          </c:spPr>
          <c:invertIfNegative val="0"/>
          <c:dPt>
            <c:idx val="0"/>
            <c:invertIfNegative val="0"/>
            <c:bubble3D val="0"/>
            <c:spPr>
              <a:solidFill>
                <a:srgbClr val="00B050"/>
              </a:solidFill>
              <a:ln>
                <a:noFill/>
              </a:ln>
              <a:effectLst/>
              <a:scene3d>
                <a:camera prst="orthographicFront"/>
                <a:lightRig rig="threePt" dir="t"/>
              </a:scene3d>
              <a:sp3d>
                <a:bevelT/>
                <a:bevelB/>
              </a:sp3d>
            </c:spPr>
            <c:extLst>
              <c:ext xmlns:c16="http://schemas.microsoft.com/office/drawing/2014/chart" uri="{C3380CC4-5D6E-409C-BE32-E72D297353CC}">
                <c16:uniqueId val="{00000003-CFE9-47C5-98AC-BC3B876E3B01}"/>
              </c:ext>
            </c:extLst>
          </c:dPt>
          <c:dPt>
            <c:idx val="1"/>
            <c:invertIfNegative val="0"/>
            <c:bubble3D val="0"/>
            <c:spPr>
              <a:solidFill>
                <a:srgbClr val="FFFF00"/>
              </a:solidFill>
              <a:ln>
                <a:noFill/>
              </a:ln>
              <a:effectLst/>
              <a:scene3d>
                <a:camera prst="orthographicFront"/>
                <a:lightRig rig="threePt" dir="t"/>
              </a:scene3d>
              <a:sp3d>
                <a:bevelT/>
                <a:bevelB/>
              </a:sp3d>
            </c:spPr>
            <c:extLst>
              <c:ext xmlns:c16="http://schemas.microsoft.com/office/drawing/2014/chart" uri="{C3380CC4-5D6E-409C-BE32-E72D297353CC}">
                <c16:uniqueId val="{00000001-CFE9-47C5-98AC-BC3B876E3B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gráficas!$C$2:$D$2</c:f>
              <c:strCache>
                <c:ptCount val="2"/>
                <c:pt idx="0">
                  <c:v>META</c:v>
                </c:pt>
                <c:pt idx="1">
                  <c:v>EJECUCIÓN</c:v>
                </c:pt>
              </c:strCache>
            </c:strRef>
          </c:cat>
          <c:val>
            <c:numRef>
              <c:f>gráficas!$C$4:$D$4</c:f>
              <c:numCache>
                <c:formatCode>0.0%</c:formatCode>
                <c:ptCount val="2"/>
                <c:pt idx="0" formatCode="0%">
                  <c:v>1</c:v>
                </c:pt>
                <c:pt idx="1">
                  <c:v>0.98082230281183214</c:v>
                </c:pt>
              </c:numCache>
            </c:numRef>
          </c:val>
          <c:extLst>
            <c:ext xmlns:c16="http://schemas.microsoft.com/office/drawing/2014/chart" uri="{C3380CC4-5D6E-409C-BE32-E72D297353CC}">
              <c16:uniqueId val="{00000002-CFE9-47C5-98AC-BC3B876E3B01}"/>
            </c:ext>
          </c:extLst>
        </c:ser>
        <c:dLbls>
          <c:dLblPos val="outEnd"/>
          <c:showLegendKey val="0"/>
          <c:showVal val="1"/>
          <c:showCatName val="0"/>
          <c:showSerName val="0"/>
          <c:showPercent val="0"/>
          <c:showBubbleSize val="0"/>
        </c:dLbls>
        <c:gapWidth val="219"/>
        <c:overlap val="-27"/>
        <c:axId val="192731432"/>
        <c:axId val="192734712"/>
      </c:barChart>
      <c:catAx>
        <c:axId val="19273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734712"/>
        <c:crosses val="autoZero"/>
        <c:auto val="1"/>
        <c:lblAlgn val="ctr"/>
        <c:lblOffset val="100"/>
        <c:noMultiLvlLbl val="0"/>
      </c:catAx>
      <c:valAx>
        <c:axId val="192734712"/>
        <c:scaling>
          <c:orientation val="minMax"/>
        </c:scaling>
        <c:delete val="1"/>
        <c:axPos val="l"/>
        <c:numFmt formatCode="0%" sourceLinked="1"/>
        <c:majorTickMark val="none"/>
        <c:minorTickMark val="none"/>
        <c:tickLblPos val="nextTo"/>
        <c:crossAx val="192731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s://pixabay.com/es/signo-de-exclamaci%C3%B3n-advertencia-37986/" TargetMode="External"/><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30</xdr:col>
      <xdr:colOff>467154</xdr:colOff>
      <xdr:row>28</xdr:row>
      <xdr:rowOff>422563</xdr:rowOff>
    </xdr:from>
    <xdr:to>
      <xdr:col>30</xdr:col>
      <xdr:colOff>1252519</xdr:colOff>
      <xdr:row>28</xdr:row>
      <xdr:rowOff>1102101</xdr:rowOff>
    </xdr:to>
    <xdr:pic>
      <xdr:nvPicPr>
        <xdr:cNvPr id="26" name="Imagen 25">
          <a:extLst>
            <a:ext uri="{FF2B5EF4-FFF2-40B4-BE49-F238E27FC236}">
              <a16:creationId xmlns:a16="http://schemas.microsoft.com/office/drawing/2014/main" id="{7FD5ADF5-0820-4EBC-A203-C066B4128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1615154" y="15524018"/>
          <a:ext cx="785365" cy="679538"/>
        </a:xfrm>
        <a:prstGeom prst="rect">
          <a:avLst/>
        </a:prstGeom>
      </xdr:spPr>
    </xdr:pic>
    <xdr:clientData/>
  </xdr:twoCellAnchor>
  <xdr:twoCellAnchor editAs="oneCell">
    <xdr:from>
      <xdr:col>30</xdr:col>
      <xdr:colOff>571650</xdr:colOff>
      <xdr:row>43</xdr:row>
      <xdr:rowOff>1073728</xdr:rowOff>
    </xdr:from>
    <xdr:to>
      <xdr:col>30</xdr:col>
      <xdr:colOff>1343408</xdr:colOff>
      <xdr:row>43</xdr:row>
      <xdr:rowOff>1770956</xdr:rowOff>
    </xdr:to>
    <xdr:pic>
      <xdr:nvPicPr>
        <xdr:cNvPr id="28" name="Imagen 27">
          <a:extLst>
            <a:ext uri="{FF2B5EF4-FFF2-40B4-BE49-F238E27FC236}">
              <a16:creationId xmlns:a16="http://schemas.microsoft.com/office/drawing/2014/main" id="{1BC88C65-8D71-436E-AE64-8B8277A9F6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1061559" y="47157410"/>
          <a:ext cx="771758" cy="697228"/>
        </a:xfrm>
        <a:prstGeom prst="rect">
          <a:avLst/>
        </a:prstGeom>
      </xdr:spPr>
    </xdr:pic>
    <xdr:clientData/>
  </xdr:twoCellAnchor>
  <xdr:twoCellAnchor editAs="oneCell">
    <xdr:from>
      <xdr:col>30</xdr:col>
      <xdr:colOff>619117</xdr:colOff>
      <xdr:row>47</xdr:row>
      <xdr:rowOff>790139</xdr:rowOff>
    </xdr:from>
    <xdr:to>
      <xdr:col>30</xdr:col>
      <xdr:colOff>1390875</xdr:colOff>
      <xdr:row>47</xdr:row>
      <xdr:rowOff>1480563</xdr:rowOff>
    </xdr:to>
    <xdr:pic>
      <xdr:nvPicPr>
        <xdr:cNvPr id="44" name="Imagen 43">
          <a:extLst>
            <a:ext uri="{FF2B5EF4-FFF2-40B4-BE49-F238E27FC236}">
              <a16:creationId xmlns:a16="http://schemas.microsoft.com/office/drawing/2014/main" id="{C9C9EC86-6F91-459C-80E7-FBD94D09B6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1767117" y="61836730"/>
          <a:ext cx="771758" cy="690424"/>
        </a:xfrm>
        <a:prstGeom prst="rect">
          <a:avLst/>
        </a:prstGeom>
      </xdr:spPr>
    </xdr:pic>
    <xdr:clientData/>
  </xdr:twoCellAnchor>
  <xdr:twoCellAnchor editAs="oneCell">
    <xdr:from>
      <xdr:col>30</xdr:col>
      <xdr:colOff>619119</xdr:colOff>
      <xdr:row>51</xdr:row>
      <xdr:rowOff>1047750</xdr:rowOff>
    </xdr:from>
    <xdr:to>
      <xdr:col>30</xdr:col>
      <xdr:colOff>1390877</xdr:colOff>
      <xdr:row>51</xdr:row>
      <xdr:rowOff>1750421</xdr:rowOff>
    </xdr:to>
    <xdr:pic>
      <xdr:nvPicPr>
        <xdr:cNvPr id="45" name="Imagen 44">
          <a:extLst>
            <a:ext uri="{FF2B5EF4-FFF2-40B4-BE49-F238E27FC236}">
              <a16:creationId xmlns:a16="http://schemas.microsoft.com/office/drawing/2014/main" id="{FD233322-C451-4F57-8450-6C56D46AB2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805094" y="55406925"/>
          <a:ext cx="771758" cy="676817"/>
        </a:xfrm>
        <a:prstGeom prst="rect">
          <a:avLst/>
        </a:prstGeom>
      </xdr:spPr>
    </xdr:pic>
    <xdr:clientData/>
  </xdr:twoCellAnchor>
  <xdr:twoCellAnchor editAs="oneCell">
    <xdr:from>
      <xdr:col>30</xdr:col>
      <xdr:colOff>642932</xdr:colOff>
      <xdr:row>49</xdr:row>
      <xdr:rowOff>904876</xdr:rowOff>
    </xdr:from>
    <xdr:to>
      <xdr:col>30</xdr:col>
      <xdr:colOff>1414690</xdr:colOff>
      <xdr:row>49</xdr:row>
      <xdr:rowOff>1602104</xdr:rowOff>
    </xdr:to>
    <xdr:pic>
      <xdr:nvPicPr>
        <xdr:cNvPr id="46" name="Imagen 45">
          <a:extLst>
            <a:ext uri="{FF2B5EF4-FFF2-40B4-BE49-F238E27FC236}">
              <a16:creationId xmlns:a16="http://schemas.microsoft.com/office/drawing/2014/main" id="{22BCE7A2-4585-4B89-8F76-50D05E71C5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828907" y="48596551"/>
          <a:ext cx="771758" cy="676817"/>
        </a:xfrm>
        <a:prstGeom prst="rect">
          <a:avLst/>
        </a:prstGeom>
      </xdr:spPr>
    </xdr:pic>
    <xdr:clientData/>
  </xdr:twoCellAnchor>
  <xdr:twoCellAnchor editAs="oneCell">
    <xdr:from>
      <xdr:col>13</xdr:col>
      <xdr:colOff>2221920</xdr:colOff>
      <xdr:row>17</xdr:row>
      <xdr:rowOff>704850</xdr:rowOff>
    </xdr:from>
    <xdr:to>
      <xdr:col>28</xdr:col>
      <xdr:colOff>60234</xdr:colOff>
      <xdr:row>21</xdr:row>
      <xdr:rowOff>209550</xdr:rowOff>
    </xdr:to>
    <xdr:pic>
      <xdr:nvPicPr>
        <xdr:cNvPr id="56" name="Imagen 55">
          <a:extLst>
            <a:ext uri="{FF2B5EF4-FFF2-40B4-BE49-F238E27FC236}">
              <a16:creationId xmlns:a16="http://schemas.microsoft.com/office/drawing/2014/main" id="{B789EC5F-F9A2-4AE2-AAC9-C7AAA77DE9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73647" y="1033895"/>
          <a:ext cx="22534042" cy="2050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3452812</xdr:colOff>
      <xdr:row>23</xdr:row>
      <xdr:rowOff>4595</xdr:rowOff>
    </xdr:from>
    <xdr:to>
      <xdr:col>31</xdr:col>
      <xdr:colOff>8524875</xdr:colOff>
      <xdr:row>24</xdr:row>
      <xdr:rowOff>643989</xdr:rowOff>
    </xdr:to>
    <xdr:pic>
      <xdr:nvPicPr>
        <xdr:cNvPr id="57" name="Imagen 56">
          <a:extLst>
            <a:ext uri="{FF2B5EF4-FFF2-40B4-BE49-F238E27FC236}">
              <a16:creationId xmlns:a16="http://schemas.microsoft.com/office/drawing/2014/main" id="{D0954332-66F1-492A-95B9-0FF1105992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934937" y="3838408"/>
          <a:ext cx="5072063" cy="202052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500063</xdr:colOff>
      <xdr:row>30</xdr:row>
      <xdr:rowOff>142875</xdr:rowOff>
    </xdr:from>
    <xdr:to>
      <xdr:col>30</xdr:col>
      <xdr:colOff>1271821</xdr:colOff>
      <xdr:row>30</xdr:row>
      <xdr:rowOff>819692</xdr:rowOff>
    </xdr:to>
    <xdr:pic>
      <xdr:nvPicPr>
        <xdr:cNvPr id="59" name="Imagen 58">
          <a:extLst>
            <a:ext uri="{FF2B5EF4-FFF2-40B4-BE49-F238E27FC236}">
              <a16:creationId xmlns:a16="http://schemas.microsoft.com/office/drawing/2014/main" id="{F902B8DA-2BD6-443D-8700-8DCB762D16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5743813" y="12025313"/>
          <a:ext cx="771758" cy="676817"/>
        </a:xfrm>
        <a:prstGeom prst="rect">
          <a:avLst/>
        </a:prstGeom>
      </xdr:spPr>
    </xdr:pic>
    <xdr:clientData/>
  </xdr:twoCellAnchor>
  <xdr:twoCellAnchor editAs="oneCell">
    <xdr:from>
      <xdr:col>30</xdr:col>
      <xdr:colOff>619125</xdr:colOff>
      <xdr:row>40</xdr:row>
      <xdr:rowOff>381000</xdr:rowOff>
    </xdr:from>
    <xdr:to>
      <xdr:col>30</xdr:col>
      <xdr:colOff>1390883</xdr:colOff>
      <xdr:row>40</xdr:row>
      <xdr:rowOff>1057817</xdr:rowOff>
    </xdr:to>
    <xdr:pic>
      <xdr:nvPicPr>
        <xdr:cNvPr id="62" name="Imagen 61">
          <a:extLst>
            <a:ext uri="{FF2B5EF4-FFF2-40B4-BE49-F238E27FC236}">
              <a16:creationId xmlns:a16="http://schemas.microsoft.com/office/drawing/2014/main" id="{0DFF7D36-6A9A-41BD-A92E-853115A4A2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5862875" y="29313188"/>
          <a:ext cx="771758" cy="676817"/>
        </a:xfrm>
        <a:prstGeom prst="rect">
          <a:avLst/>
        </a:prstGeom>
      </xdr:spPr>
    </xdr:pic>
    <xdr:clientData/>
  </xdr:twoCellAnchor>
  <xdr:twoCellAnchor editAs="oneCell">
    <xdr:from>
      <xdr:col>0</xdr:col>
      <xdr:colOff>0</xdr:colOff>
      <xdr:row>0</xdr:row>
      <xdr:rowOff>0</xdr:rowOff>
    </xdr:from>
    <xdr:to>
      <xdr:col>0</xdr:col>
      <xdr:colOff>744682</xdr:colOff>
      <xdr:row>2</xdr:row>
      <xdr:rowOff>285872</xdr:rowOff>
    </xdr:to>
    <xdr:pic>
      <xdr:nvPicPr>
        <xdr:cNvPr id="11" name="Imagen 10">
          <a:extLst>
            <a:ext uri="{FF2B5EF4-FFF2-40B4-BE49-F238E27FC236}">
              <a16:creationId xmlns:a16="http://schemas.microsoft.com/office/drawing/2014/main" id="{36CDFB87-AEB8-4172-9B0F-4EA0BF52BD1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744682" cy="97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148259</xdr:colOff>
      <xdr:row>0</xdr:row>
      <xdr:rowOff>184494</xdr:rowOff>
    </xdr:from>
    <xdr:to>
      <xdr:col>8</xdr:col>
      <xdr:colOff>700709</xdr:colOff>
      <xdr:row>16</xdr:row>
      <xdr:rowOff>113057</xdr:rowOff>
    </xdr:to>
    <xdr:graphicFrame macro="">
      <xdr:nvGraphicFramePr>
        <xdr:cNvPr id="2" name="Gráfico 1">
          <a:extLst>
            <a:ext uri="{FF2B5EF4-FFF2-40B4-BE49-F238E27FC236}">
              <a16:creationId xmlns:a16="http://schemas.microsoft.com/office/drawing/2014/main" id="{7F2026E9-1A34-499E-9E2E-BCE2122EB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190498</xdr:colOff>
      <xdr:row>36</xdr:row>
      <xdr:rowOff>80961</xdr:rowOff>
    </xdr:from>
    <xdr:to>
      <xdr:col>12</xdr:col>
      <xdr:colOff>352424</xdr:colOff>
      <xdr:row>47</xdr:row>
      <xdr:rowOff>180974</xdr:rowOff>
    </xdr:to>
    <xdr:graphicFrame macro="">
      <xdr:nvGraphicFramePr>
        <xdr:cNvPr id="4" name="Gráfico 3">
          <a:extLst>
            <a:ext uri="{FF2B5EF4-FFF2-40B4-BE49-F238E27FC236}">
              <a16:creationId xmlns:a16="http://schemas.microsoft.com/office/drawing/2014/main" id="{52C6E602-8395-4D04-9EB7-8642AF855A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169380</xdr:colOff>
      <xdr:row>22</xdr:row>
      <xdr:rowOff>149087</xdr:rowOff>
    </xdr:from>
    <xdr:to>
      <xdr:col>12</xdr:col>
      <xdr:colOff>252864</xdr:colOff>
      <xdr:row>33</xdr:row>
      <xdr:rowOff>137881</xdr:rowOff>
    </xdr:to>
    <xdr:graphicFrame macro="">
      <xdr:nvGraphicFramePr>
        <xdr:cNvPr id="11" name="Gráfico 10">
          <a:extLst>
            <a:ext uri="{FF2B5EF4-FFF2-40B4-BE49-F238E27FC236}">
              <a16:creationId xmlns:a16="http://schemas.microsoft.com/office/drawing/2014/main" id="{3BF854AF-A18F-4DE3-8922-E6D0DE578D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828261</xdr:colOff>
      <xdr:row>0</xdr:row>
      <xdr:rowOff>173934</xdr:rowOff>
    </xdr:from>
    <xdr:to>
      <xdr:col>12</xdr:col>
      <xdr:colOff>287407</xdr:colOff>
      <xdr:row>16</xdr:row>
      <xdr:rowOff>102497</xdr:rowOff>
    </xdr:to>
    <xdr:graphicFrame macro="">
      <xdr:nvGraphicFramePr>
        <xdr:cNvPr id="15" name="Gráfico 14">
          <a:extLst>
            <a:ext uri="{FF2B5EF4-FFF2-40B4-BE49-F238E27FC236}">
              <a16:creationId xmlns:a16="http://schemas.microsoft.com/office/drawing/2014/main" id="{AE214DCD-B7BE-4D0E-A314-1ADD43928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647700</xdr:colOff>
      <xdr:row>5</xdr:row>
      <xdr:rowOff>114300</xdr:rowOff>
    </xdr:from>
    <xdr:to>
      <xdr:col>6</xdr:col>
      <xdr:colOff>809625</xdr:colOff>
      <xdr:row>5</xdr:row>
      <xdr:rowOff>266700</xdr:rowOff>
    </xdr:to>
    <xdr:sp macro="" textlink="">
      <xdr:nvSpPr>
        <xdr:cNvPr id="2" name="Elipse 1">
          <a:extLst>
            <a:ext uri="{FF2B5EF4-FFF2-40B4-BE49-F238E27FC236}">
              <a16:creationId xmlns:a16="http://schemas.microsoft.com/office/drawing/2014/main" id="{772CF32D-E4DB-4964-BCD0-7A3C8E986F05}"/>
            </a:ext>
          </a:extLst>
        </xdr:cNvPr>
        <xdr:cNvSpPr/>
      </xdr:nvSpPr>
      <xdr:spPr>
        <a:xfrm>
          <a:off x="7353300" y="15811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666750</xdr:colOff>
      <xdr:row>8</xdr:row>
      <xdr:rowOff>114300</xdr:rowOff>
    </xdr:from>
    <xdr:to>
      <xdr:col>6</xdr:col>
      <xdr:colOff>828675</xdr:colOff>
      <xdr:row>8</xdr:row>
      <xdr:rowOff>266700</xdr:rowOff>
    </xdr:to>
    <xdr:sp macro="" textlink="">
      <xdr:nvSpPr>
        <xdr:cNvPr id="3" name="Elipse 2">
          <a:extLst>
            <a:ext uri="{FF2B5EF4-FFF2-40B4-BE49-F238E27FC236}">
              <a16:creationId xmlns:a16="http://schemas.microsoft.com/office/drawing/2014/main" id="{2B721475-5DC8-4C87-9BE1-1D4724B578E5}"/>
            </a:ext>
          </a:extLst>
        </xdr:cNvPr>
        <xdr:cNvSpPr/>
      </xdr:nvSpPr>
      <xdr:spPr>
        <a:xfrm>
          <a:off x="7372350" y="66484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666750</xdr:colOff>
      <xdr:row>11</xdr:row>
      <xdr:rowOff>209550</xdr:rowOff>
    </xdr:from>
    <xdr:to>
      <xdr:col>6</xdr:col>
      <xdr:colOff>828675</xdr:colOff>
      <xdr:row>11</xdr:row>
      <xdr:rowOff>361950</xdr:rowOff>
    </xdr:to>
    <xdr:sp macro="" textlink="">
      <xdr:nvSpPr>
        <xdr:cNvPr id="4" name="Elipse 3">
          <a:extLst>
            <a:ext uri="{FF2B5EF4-FFF2-40B4-BE49-F238E27FC236}">
              <a16:creationId xmlns:a16="http://schemas.microsoft.com/office/drawing/2014/main" id="{D3811FA8-A66B-4A84-9CE5-6457BDBB23B9}"/>
            </a:ext>
          </a:extLst>
        </xdr:cNvPr>
        <xdr:cNvSpPr/>
      </xdr:nvSpPr>
      <xdr:spPr>
        <a:xfrm>
          <a:off x="7372350" y="84010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990600</xdr:colOff>
      <xdr:row>14</xdr:row>
      <xdr:rowOff>1019175</xdr:rowOff>
    </xdr:from>
    <xdr:to>
      <xdr:col>15</xdr:col>
      <xdr:colOff>1152525</xdr:colOff>
      <xdr:row>14</xdr:row>
      <xdr:rowOff>1171575</xdr:rowOff>
    </xdr:to>
    <xdr:sp macro="" textlink="">
      <xdr:nvSpPr>
        <xdr:cNvPr id="5" name="Elipse 4">
          <a:extLst>
            <a:ext uri="{FF2B5EF4-FFF2-40B4-BE49-F238E27FC236}">
              <a16:creationId xmlns:a16="http://schemas.microsoft.com/office/drawing/2014/main" id="{A50EE4C7-26B8-4379-936F-905BAE92167C}"/>
            </a:ext>
          </a:extLst>
        </xdr:cNvPr>
        <xdr:cNvSpPr/>
      </xdr:nvSpPr>
      <xdr:spPr>
        <a:xfrm>
          <a:off x="18507075" y="106489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15</xdr:row>
      <xdr:rowOff>266700</xdr:rowOff>
    </xdr:from>
    <xdr:to>
      <xdr:col>15</xdr:col>
      <xdr:colOff>1133475</xdr:colOff>
      <xdr:row>15</xdr:row>
      <xdr:rowOff>419100</xdr:rowOff>
    </xdr:to>
    <xdr:sp macro="" textlink="">
      <xdr:nvSpPr>
        <xdr:cNvPr id="6" name="Elipse 5">
          <a:extLst>
            <a:ext uri="{FF2B5EF4-FFF2-40B4-BE49-F238E27FC236}">
              <a16:creationId xmlns:a16="http://schemas.microsoft.com/office/drawing/2014/main" id="{B05FC616-80F7-4558-B3C3-31DB4F52BEFB}"/>
            </a:ext>
          </a:extLst>
        </xdr:cNvPr>
        <xdr:cNvSpPr/>
      </xdr:nvSpPr>
      <xdr:spPr>
        <a:xfrm>
          <a:off x="18488025" y="1206817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19</xdr:row>
      <xdr:rowOff>1495425</xdr:rowOff>
    </xdr:from>
    <xdr:to>
      <xdr:col>15</xdr:col>
      <xdr:colOff>1133475</xdr:colOff>
      <xdr:row>19</xdr:row>
      <xdr:rowOff>1647825</xdr:rowOff>
    </xdr:to>
    <xdr:sp macro="" textlink="">
      <xdr:nvSpPr>
        <xdr:cNvPr id="7" name="Elipse 6">
          <a:extLst>
            <a:ext uri="{FF2B5EF4-FFF2-40B4-BE49-F238E27FC236}">
              <a16:creationId xmlns:a16="http://schemas.microsoft.com/office/drawing/2014/main" id="{4D05FB6D-A237-420A-A6A7-4950CF148961}"/>
            </a:ext>
          </a:extLst>
        </xdr:cNvPr>
        <xdr:cNvSpPr/>
      </xdr:nvSpPr>
      <xdr:spPr>
        <a:xfrm>
          <a:off x="18488025" y="159734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24</xdr:row>
      <xdr:rowOff>962025</xdr:rowOff>
    </xdr:from>
    <xdr:to>
      <xdr:col>15</xdr:col>
      <xdr:colOff>1133475</xdr:colOff>
      <xdr:row>24</xdr:row>
      <xdr:rowOff>1114425</xdr:rowOff>
    </xdr:to>
    <xdr:sp macro="" textlink="">
      <xdr:nvSpPr>
        <xdr:cNvPr id="8" name="Elipse 7">
          <a:extLst>
            <a:ext uri="{FF2B5EF4-FFF2-40B4-BE49-F238E27FC236}">
              <a16:creationId xmlns:a16="http://schemas.microsoft.com/office/drawing/2014/main" id="{D98AE6F7-1C0D-4DA6-875A-811E5EA3EFB6}"/>
            </a:ext>
          </a:extLst>
        </xdr:cNvPr>
        <xdr:cNvSpPr/>
      </xdr:nvSpPr>
      <xdr:spPr>
        <a:xfrm>
          <a:off x="18488025" y="2221230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990600</xdr:colOff>
      <xdr:row>35</xdr:row>
      <xdr:rowOff>609600</xdr:rowOff>
    </xdr:from>
    <xdr:to>
      <xdr:col>15</xdr:col>
      <xdr:colOff>1152525</xdr:colOff>
      <xdr:row>35</xdr:row>
      <xdr:rowOff>762000</xdr:rowOff>
    </xdr:to>
    <xdr:sp macro="" textlink="">
      <xdr:nvSpPr>
        <xdr:cNvPr id="9" name="Elipse 8">
          <a:extLst>
            <a:ext uri="{FF2B5EF4-FFF2-40B4-BE49-F238E27FC236}">
              <a16:creationId xmlns:a16="http://schemas.microsoft.com/office/drawing/2014/main" id="{F5883DD6-BD30-4885-A1BD-BE60BA50E19E}"/>
            </a:ext>
          </a:extLst>
        </xdr:cNvPr>
        <xdr:cNvSpPr/>
      </xdr:nvSpPr>
      <xdr:spPr>
        <a:xfrm>
          <a:off x="18507075" y="302990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1000125</xdr:colOff>
      <xdr:row>38</xdr:row>
      <xdr:rowOff>638175</xdr:rowOff>
    </xdr:from>
    <xdr:to>
      <xdr:col>15</xdr:col>
      <xdr:colOff>1162050</xdr:colOff>
      <xdr:row>38</xdr:row>
      <xdr:rowOff>790575</xdr:rowOff>
    </xdr:to>
    <xdr:sp macro="" textlink="">
      <xdr:nvSpPr>
        <xdr:cNvPr id="10" name="Elipse 9">
          <a:extLst>
            <a:ext uri="{FF2B5EF4-FFF2-40B4-BE49-F238E27FC236}">
              <a16:creationId xmlns:a16="http://schemas.microsoft.com/office/drawing/2014/main" id="{D5FE94E3-5B01-4E55-B930-C409D90C4B44}"/>
            </a:ext>
          </a:extLst>
        </xdr:cNvPr>
        <xdr:cNvSpPr/>
      </xdr:nvSpPr>
      <xdr:spPr>
        <a:xfrm>
          <a:off x="18516600" y="3325177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923925</xdr:colOff>
      <xdr:row>31</xdr:row>
      <xdr:rowOff>962025</xdr:rowOff>
    </xdr:from>
    <xdr:to>
      <xdr:col>15</xdr:col>
      <xdr:colOff>1085850</xdr:colOff>
      <xdr:row>31</xdr:row>
      <xdr:rowOff>1114425</xdr:rowOff>
    </xdr:to>
    <xdr:sp macro="" textlink="">
      <xdr:nvSpPr>
        <xdr:cNvPr id="11" name="Elipse 10">
          <a:extLst>
            <a:ext uri="{FF2B5EF4-FFF2-40B4-BE49-F238E27FC236}">
              <a16:creationId xmlns:a16="http://schemas.microsoft.com/office/drawing/2014/main" id="{3A690CB5-450C-4BFB-9EF5-0D38A65BC850}"/>
            </a:ext>
          </a:extLst>
        </xdr:cNvPr>
        <xdr:cNvSpPr/>
      </xdr:nvSpPr>
      <xdr:spPr>
        <a:xfrm>
          <a:off x="18440400" y="264890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errera/Documents/DOCUMENTOS%20PLANEACI&#211;N%20AMH/18.%20Segumiento%20Plan%20de%20Acci&#243;n%20y%20operatio/CONSTRUCCI&#211;N%20BASE%20DE%20DATOS/TABLERO%20DE%20CONTROL/Tablero%20de%20Control%20-%20Acumulado%20Mayo%201906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
      <sheetName val="gráficas"/>
      <sheetName val="Hoja1"/>
      <sheetName val="VGC"/>
      <sheetName val="Ejecutiva"/>
      <sheetName val="Estructuración"/>
      <sheetName val="VAF"/>
      <sheetName val="VPRE"/>
      <sheetName val="Comunicaciones"/>
      <sheetName val="Ejecutiva resumen"/>
      <sheetName val="vgc resumen"/>
      <sheetName val="Esquema"/>
      <sheetName val="Vgc previo"/>
    </sheetNames>
    <sheetDataSet>
      <sheetData sheetId="0">
        <row r="13">
          <cell r="I13">
            <v>0.49</v>
          </cell>
        </row>
        <row r="19">
          <cell r="I19">
            <v>0.51</v>
          </cell>
        </row>
        <row r="22">
          <cell r="I22">
            <v>0.48</v>
          </cell>
        </row>
        <row r="28">
          <cell r="I28">
            <v>0.52</v>
          </cell>
        </row>
        <row r="33">
          <cell r="I33">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7131-F8E2-422D-9D51-5E87592441BB}">
  <sheetPr>
    <tabColor rgb="FF3333CC"/>
    <pageSetUpPr fitToPage="1"/>
  </sheetPr>
  <dimension ref="A1:AJ52"/>
  <sheetViews>
    <sheetView showGridLines="0" tabSelected="1" zoomScale="55" zoomScaleNormal="55" workbookViewId="0">
      <selection sqref="A1:A3"/>
    </sheetView>
  </sheetViews>
  <sheetFormatPr baseColWidth="10" defaultColWidth="11.42578125" defaultRowHeight="26.25" x14ac:dyDescent="0.25"/>
  <cols>
    <col min="1" max="1" width="11.42578125" style="93"/>
    <col min="2" max="2" width="73.85546875" style="93" customWidth="1"/>
    <col min="3" max="3" width="27.140625" style="93" customWidth="1"/>
    <col min="4" max="4" width="37.7109375" style="81" hidden="1" customWidth="1"/>
    <col min="5" max="6" width="27.7109375" style="81" hidden="1" customWidth="1"/>
    <col min="7" max="7" width="34.140625" style="81" customWidth="1"/>
    <col min="8" max="9" width="27.7109375" style="93" customWidth="1"/>
    <col min="10" max="10" width="29.85546875" style="94" hidden="1" customWidth="1"/>
    <col min="11" max="12" width="27.7109375" style="94" hidden="1" customWidth="1"/>
    <col min="13" max="13" width="31.28515625" style="94" customWidth="1"/>
    <col min="14" max="14" width="80.7109375" style="93" customWidth="1"/>
    <col min="15" max="15" width="39.140625" style="93" bestFit="1" customWidth="1"/>
    <col min="16" max="17" width="27.7109375" style="81" hidden="1" customWidth="1"/>
    <col min="18" max="18" width="33.140625" style="81" hidden="1" customWidth="1"/>
    <col min="19" max="19" width="27.7109375" style="81" hidden="1" customWidth="1"/>
    <col min="20" max="20" width="45.42578125" style="93" customWidth="1"/>
    <col min="21" max="21" width="76.5703125" style="93" customWidth="1"/>
    <col min="22" max="22" width="27.42578125" style="93" bestFit="1" customWidth="1"/>
    <col min="23" max="23" width="17" style="93" customWidth="1"/>
    <col min="24" max="24" width="26.42578125" style="93" customWidth="1"/>
    <col min="25" max="25" width="33.7109375" style="93" bestFit="1" customWidth="1"/>
    <col min="26" max="26" width="24.140625" style="93" hidden="1" customWidth="1"/>
    <col min="27" max="27" width="23.5703125" style="93" bestFit="1" customWidth="1"/>
    <col min="28" max="28" width="15.5703125" style="93" hidden="1" customWidth="1"/>
    <col min="29" max="29" width="15.5703125" style="93" bestFit="1" customWidth="1"/>
    <col min="30" max="30" width="34.140625" style="81" hidden="1" customWidth="1"/>
    <col min="31" max="31" width="25.85546875" style="93" bestFit="1" customWidth="1"/>
    <col min="32" max="32" width="210.5703125" style="93" customWidth="1"/>
    <col min="33" max="33" width="11.42578125" style="187"/>
    <col min="34" max="34" width="13.5703125" style="93" customWidth="1"/>
    <col min="35" max="35" width="14.42578125" style="93" customWidth="1"/>
    <col min="36" max="16384" width="11.42578125" style="93"/>
  </cols>
  <sheetData>
    <row r="1" spans="1:32" ht="27" thickBot="1" x14ac:dyDescent="0.3">
      <c r="A1" s="242"/>
      <c r="C1" s="245" t="s">
        <v>331</v>
      </c>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7"/>
      <c r="AE1" s="234" t="s">
        <v>332</v>
      </c>
      <c r="AF1" s="235" t="s">
        <v>333</v>
      </c>
    </row>
    <row r="2" spans="1:32" ht="27" thickBot="1" x14ac:dyDescent="0.3">
      <c r="A2" s="243"/>
      <c r="B2" s="240" t="s">
        <v>334</v>
      </c>
      <c r="C2" s="245" t="s">
        <v>335</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7"/>
      <c r="AE2" s="236" t="s">
        <v>336</v>
      </c>
      <c r="AF2" s="237">
        <v>2</v>
      </c>
    </row>
    <row r="3" spans="1:32" ht="27" thickBot="1" x14ac:dyDescent="0.3">
      <c r="A3" s="244"/>
      <c r="B3" s="241" t="s">
        <v>337</v>
      </c>
      <c r="C3" s="245" t="s">
        <v>338</v>
      </c>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7"/>
      <c r="AE3" s="238" t="s">
        <v>339</v>
      </c>
      <c r="AF3" s="239">
        <v>43725</v>
      </c>
    </row>
    <row r="17" spans="2:33" s="81" customFormat="1" x14ac:dyDescent="0.25">
      <c r="J17" s="94"/>
      <c r="K17" s="94"/>
      <c r="L17" s="94"/>
      <c r="M17" s="94"/>
      <c r="N17" s="95"/>
      <c r="AG17" s="187"/>
    </row>
    <row r="18" spans="2:33" s="81" customFormat="1" ht="61.5" x14ac:dyDescent="0.25">
      <c r="B18" s="95"/>
      <c r="H18" s="95"/>
      <c r="I18" s="95"/>
      <c r="J18" s="95"/>
      <c r="K18" s="95"/>
      <c r="L18" s="95"/>
      <c r="M18" s="95"/>
      <c r="P18" s="96"/>
      <c r="Q18" s="95"/>
      <c r="R18" s="95"/>
      <c r="S18" s="96"/>
      <c r="T18" s="95"/>
      <c r="U18" s="95"/>
      <c r="V18" s="95"/>
      <c r="W18" s="95"/>
      <c r="X18" s="95"/>
      <c r="Y18" s="95"/>
      <c r="Z18" s="95"/>
      <c r="AA18" s="95"/>
      <c r="AB18" s="95"/>
      <c r="AC18" s="95"/>
      <c r="AD18" s="95"/>
      <c r="AE18" s="95"/>
      <c r="AF18" s="95"/>
      <c r="AG18" s="187"/>
    </row>
    <row r="19" spans="2:33" ht="46.5" x14ac:dyDescent="0.25">
      <c r="H19" s="81"/>
      <c r="I19" s="97"/>
      <c r="J19" s="95"/>
      <c r="K19" s="95"/>
      <c r="L19" s="95"/>
      <c r="M19" s="97"/>
      <c r="P19" s="98"/>
      <c r="Q19" s="95"/>
      <c r="R19" s="95"/>
      <c r="S19" s="98"/>
      <c r="T19" s="97"/>
      <c r="U19" s="97"/>
      <c r="V19" s="97"/>
      <c r="W19" s="97"/>
      <c r="X19" s="97"/>
      <c r="Y19" s="97"/>
      <c r="Z19" s="99"/>
      <c r="AA19" s="99"/>
      <c r="AB19" s="97"/>
      <c r="AC19" s="97"/>
      <c r="AD19" s="95"/>
      <c r="AE19" s="97"/>
      <c r="AF19" s="97"/>
    </row>
    <row r="20" spans="2:33" ht="46.5" x14ac:dyDescent="0.25">
      <c r="H20" s="81"/>
      <c r="I20" s="97"/>
      <c r="J20" s="95"/>
      <c r="K20" s="95"/>
      <c r="L20" s="95"/>
      <c r="M20" s="97"/>
      <c r="N20" s="98"/>
      <c r="O20" s="97"/>
      <c r="P20" s="95"/>
      <c r="Q20" s="95"/>
      <c r="R20" s="95"/>
      <c r="S20" s="95"/>
      <c r="T20" s="97"/>
      <c r="U20" s="97"/>
      <c r="V20" s="97"/>
      <c r="W20" s="97"/>
      <c r="X20" s="97"/>
      <c r="Y20" s="100"/>
      <c r="Z20" s="101"/>
      <c r="AA20" s="101"/>
      <c r="AB20" s="97"/>
      <c r="AC20" s="97"/>
      <c r="AD20" s="95"/>
      <c r="AE20" s="97"/>
      <c r="AF20" s="97"/>
    </row>
    <row r="21" spans="2:33" ht="46.5" x14ac:dyDescent="0.25">
      <c r="H21" s="81"/>
      <c r="I21" s="97"/>
      <c r="J21" s="95"/>
      <c r="K21" s="95"/>
      <c r="L21" s="95"/>
      <c r="M21" s="97"/>
      <c r="N21" s="98"/>
      <c r="O21" s="97"/>
      <c r="P21" s="95"/>
      <c r="Q21" s="95"/>
      <c r="R21" s="95"/>
      <c r="S21" s="95"/>
      <c r="T21" s="97"/>
      <c r="U21" s="97"/>
      <c r="V21" s="97"/>
      <c r="W21" s="97"/>
      <c r="X21" s="97"/>
      <c r="Y21" s="100"/>
      <c r="Z21" s="101"/>
      <c r="AA21" s="101"/>
      <c r="AB21" s="97"/>
      <c r="AC21" s="97"/>
      <c r="AE21" s="102"/>
      <c r="AF21" s="103"/>
    </row>
    <row r="22" spans="2:33" ht="46.5" x14ac:dyDescent="0.25">
      <c r="H22" s="81"/>
      <c r="I22" s="97"/>
      <c r="J22" s="95"/>
      <c r="K22" s="95"/>
      <c r="L22" s="95"/>
      <c r="M22" s="97"/>
      <c r="N22" s="98"/>
      <c r="O22" s="97"/>
      <c r="P22" s="95"/>
      <c r="Q22" s="95"/>
      <c r="R22" s="95"/>
      <c r="S22" s="95"/>
      <c r="T22" s="97"/>
      <c r="U22" s="98" t="s">
        <v>340</v>
      </c>
      <c r="V22" s="97"/>
      <c r="W22" s="97"/>
      <c r="X22" s="97"/>
      <c r="Y22" s="97"/>
      <c r="Z22" s="97"/>
      <c r="AA22" s="97"/>
      <c r="AB22" s="97"/>
      <c r="AC22" s="97"/>
      <c r="AE22" s="104"/>
      <c r="AF22" s="103"/>
    </row>
    <row r="23" spans="2:33" ht="46.5" x14ac:dyDescent="0.25">
      <c r="H23" s="81"/>
      <c r="I23" s="97"/>
      <c r="J23" s="95"/>
      <c r="K23" s="95"/>
      <c r="L23" s="95"/>
      <c r="M23" s="97"/>
      <c r="N23" s="97"/>
      <c r="O23" s="97"/>
      <c r="P23" s="95"/>
      <c r="Q23" s="95"/>
      <c r="R23" s="95"/>
      <c r="S23" s="95"/>
      <c r="T23" s="97"/>
      <c r="U23" s="98"/>
      <c r="V23" s="97"/>
      <c r="W23" s="97"/>
      <c r="X23" s="97"/>
      <c r="Y23" s="97"/>
      <c r="Z23" s="97"/>
      <c r="AA23" s="97"/>
      <c r="AB23" s="97"/>
      <c r="AC23" s="97"/>
      <c r="AE23" s="104"/>
      <c r="AF23" s="103"/>
    </row>
    <row r="24" spans="2:33" ht="109.5" x14ac:dyDescent="0.25">
      <c r="B24" s="80" t="s">
        <v>0</v>
      </c>
      <c r="C24" s="186">
        <f>+$F$29+$F$38+$F$48</f>
        <v>0.98082230281183214</v>
      </c>
      <c r="H24" s="81"/>
      <c r="I24" s="97"/>
      <c r="J24" s="95"/>
      <c r="K24" s="95"/>
      <c r="L24" s="95"/>
      <c r="M24" s="97"/>
      <c r="N24" s="97"/>
      <c r="O24" s="97"/>
      <c r="P24" s="95"/>
      <c r="Q24" s="95"/>
      <c r="R24" s="95"/>
      <c r="S24" s="95"/>
      <c r="T24" s="97"/>
      <c r="U24" s="97"/>
      <c r="V24" s="97"/>
      <c r="W24" s="97"/>
      <c r="X24" s="97"/>
      <c r="Y24" s="97"/>
      <c r="Z24" s="97"/>
      <c r="AA24" s="97"/>
      <c r="AB24" s="97"/>
      <c r="AC24" s="97"/>
      <c r="AE24" s="104"/>
      <c r="AF24" s="105"/>
    </row>
    <row r="25" spans="2:33" ht="78" x14ac:dyDescent="0.25">
      <c r="B25" s="80" t="s">
        <v>1</v>
      </c>
      <c r="C25" s="186">
        <f>+D29+D38+D48</f>
        <v>0.49653428782829384</v>
      </c>
      <c r="G25" s="187"/>
      <c r="H25" s="81"/>
      <c r="I25" s="97"/>
      <c r="J25" s="95"/>
      <c r="K25" s="95"/>
      <c r="L25" s="95"/>
      <c r="M25" s="97"/>
      <c r="N25" s="97"/>
      <c r="O25" s="97"/>
      <c r="P25" s="95"/>
      <c r="Q25" s="95"/>
      <c r="R25" s="95"/>
      <c r="S25" s="95"/>
      <c r="T25" s="97"/>
      <c r="U25" s="97"/>
      <c r="V25" s="97"/>
      <c r="W25" s="97"/>
      <c r="X25" s="97"/>
      <c r="Y25" s="97"/>
      <c r="Z25" s="97"/>
      <c r="AA25" s="97"/>
      <c r="AB25" s="97"/>
      <c r="AC25" s="97"/>
      <c r="AE25" s="104"/>
      <c r="AF25" s="106"/>
    </row>
    <row r="26" spans="2:33" ht="27" thickBot="1" x14ac:dyDescent="0.3">
      <c r="H26" s="81"/>
      <c r="I26" s="97"/>
      <c r="J26" s="95"/>
      <c r="K26" s="95"/>
      <c r="L26" s="95"/>
      <c r="M26" s="97"/>
      <c r="N26" s="97"/>
      <c r="O26" s="97"/>
      <c r="P26" s="95"/>
      <c r="Q26" s="95"/>
      <c r="R26" s="95"/>
      <c r="S26" s="95"/>
      <c r="T26" s="97"/>
      <c r="U26" s="97"/>
      <c r="V26" s="97"/>
      <c r="W26" s="97"/>
      <c r="X26" s="97"/>
      <c r="Y26" s="97"/>
      <c r="Z26" s="97"/>
      <c r="AA26" s="97"/>
      <c r="AB26" s="97"/>
      <c r="AC26" s="97"/>
      <c r="AD26" s="95"/>
      <c r="AE26" s="97"/>
      <c r="AF26" s="97"/>
    </row>
    <row r="27" spans="2:33" s="81" customFormat="1" ht="47.25" thickBot="1" x14ac:dyDescent="0.3">
      <c r="D27" s="107" t="s">
        <v>2</v>
      </c>
      <c r="E27" s="108" t="s">
        <v>2</v>
      </c>
      <c r="F27" s="109" t="s">
        <v>2</v>
      </c>
      <c r="G27" s="110"/>
      <c r="J27" s="107" t="s">
        <v>2</v>
      </c>
      <c r="K27" s="108" t="s">
        <v>2</v>
      </c>
      <c r="L27" s="109" t="s">
        <v>2</v>
      </c>
      <c r="M27" s="94"/>
      <c r="P27" s="107" t="s">
        <v>2</v>
      </c>
      <c r="Q27" s="108" t="s">
        <v>2</v>
      </c>
      <c r="R27" s="109" t="s">
        <v>2</v>
      </c>
      <c r="S27" s="111" t="s">
        <v>2</v>
      </c>
      <c r="X27" s="112"/>
      <c r="Z27" s="113" t="s">
        <v>2</v>
      </c>
      <c r="AA27" s="114"/>
      <c r="AB27" s="113" t="s">
        <v>2</v>
      </c>
      <c r="AC27" s="115"/>
      <c r="AD27" s="113" t="s">
        <v>2</v>
      </c>
      <c r="AG27" s="187"/>
    </row>
    <row r="28" spans="2:33" ht="189.75" thickBot="1" x14ac:dyDescent="0.3">
      <c r="B28" s="116" t="s">
        <v>3</v>
      </c>
      <c r="C28" s="117" t="s">
        <v>4</v>
      </c>
      <c r="D28" s="118" t="s">
        <v>5</v>
      </c>
      <c r="E28" s="119" t="s">
        <v>6</v>
      </c>
      <c r="F28" s="120" t="s">
        <v>7</v>
      </c>
      <c r="G28" s="117" t="s">
        <v>8</v>
      </c>
      <c r="H28" s="117" t="s">
        <v>9</v>
      </c>
      <c r="I28" s="117" t="s">
        <v>4</v>
      </c>
      <c r="J28" s="118" t="s">
        <v>10</v>
      </c>
      <c r="K28" s="119" t="s">
        <v>6</v>
      </c>
      <c r="L28" s="120" t="s">
        <v>7</v>
      </c>
      <c r="M28" s="117" t="s">
        <v>11</v>
      </c>
      <c r="N28" s="117" t="s">
        <v>12</v>
      </c>
      <c r="O28" s="117" t="s">
        <v>13</v>
      </c>
      <c r="P28" s="118" t="s">
        <v>321</v>
      </c>
      <c r="Q28" s="119" t="s">
        <v>6</v>
      </c>
      <c r="R28" s="120" t="s">
        <v>7</v>
      </c>
      <c r="S28" s="117" t="s">
        <v>14</v>
      </c>
      <c r="T28" s="117" t="s">
        <v>15</v>
      </c>
      <c r="U28" s="117" t="s">
        <v>16</v>
      </c>
      <c r="V28" s="117" t="s">
        <v>17</v>
      </c>
      <c r="W28" s="117" t="s">
        <v>18</v>
      </c>
      <c r="X28" s="117" t="s">
        <v>350</v>
      </c>
      <c r="Y28" s="117" t="s">
        <v>351</v>
      </c>
      <c r="Z28" s="268" t="s">
        <v>352</v>
      </c>
      <c r="AA28" s="269"/>
      <c r="AB28" s="269"/>
      <c r="AC28" s="270"/>
      <c r="AD28" s="121" t="s">
        <v>19</v>
      </c>
      <c r="AE28" s="117" t="s">
        <v>20</v>
      </c>
      <c r="AF28" s="122" t="s">
        <v>21</v>
      </c>
    </row>
    <row r="29" spans="2:33" ht="105" x14ac:dyDescent="0.25">
      <c r="B29" s="316" t="s">
        <v>22</v>
      </c>
      <c r="C29" s="289">
        <v>0.2</v>
      </c>
      <c r="D29" s="320">
        <f>+SUM(J29:J37)*C29</f>
        <v>0.12164000000000003</v>
      </c>
      <c r="E29" s="322">
        <f>+D29/C29</f>
        <v>0.60820000000000007</v>
      </c>
      <c r="F29" s="271">
        <f>+SUM(L29:L37)*C29</f>
        <v>0.2</v>
      </c>
      <c r="G29" s="274">
        <f>+F29/C29</f>
        <v>1</v>
      </c>
      <c r="H29" s="292" t="s">
        <v>23</v>
      </c>
      <c r="I29" s="289">
        <v>0.49</v>
      </c>
      <c r="J29" s="277">
        <f>+SUM(P29:P34)*I29</f>
        <v>0.29302</v>
      </c>
      <c r="K29" s="279">
        <f>+J29/I29</f>
        <v>0.59799999999999998</v>
      </c>
      <c r="L29" s="281">
        <f>+SUM(R29:R34)*I29</f>
        <v>0.49</v>
      </c>
      <c r="M29" s="283">
        <f>+L29/I29</f>
        <v>1</v>
      </c>
      <c r="N29" s="123" t="s">
        <v>24</v>
      </c>
      <c r="O29" s="189">
        <v>0.3</v>
      </c>
      <c r="P29" s="124">
        <f>+$O$29*AD29</f>
        <v>0.14099999999999999</v>
      </c>
      <c r="Q29" s="125">
        <f>+P29/O29</f>
        <v>0.47</v>
      </c>
      <c r="R29" s="126">
        <f t="shared" ref="R29:R52" si="0">+O29*Z29</f>
        <v>0.3</v>
      </c>
      <c r="S29" s="127">
        <f>+R29/O29</f>
        <v>1</v>
      </c>
      <c r="T29" s="128" t="s">
        <v>25</v>
      </c>
      <c r="U29" s="129" t="s">
        <v>26</v>
      </c>
      <c r="V29" s="130">
        <v>1</v>
      </c>
      <c r="W29" s="131">
        <v>1</v>
      </c>
      <c r="X29" s="132">
        <v>0.47</v>
      </c>
      <c r="Y29" s="132">
        <v>0.47</v>
      </c>
      <c r="Z29" s="198">
        <f t="shared" ref="Z29:Z51" si="1">+IF(Y29/X29&lt;120%,(Y29/X29),120%)</f>
        <v>1</v>
      </c>
      <c r="AA29" s="133">
        <v>1</v>
      </c>
      <c r="AB29" s="134" t="s">
        <v>27</v>
      </c>
      <c r="AC29" s="166" t="s">
        <v>27</v>
      </c>
      <c r="AD29" s="135">
        <f t="shared" ref="AD29:AD52" si="2">+Y29/W29</f>
        <v>0.47</v>
      </c>
      <c r="AE29" s="136"/>
      <c r="AF29" s="194" t="s">
        <v>361</v>
      </c>
    </row>
    <row r="30" spans="2:33" ht="58.5" x14ac:dyDescent="0.25">
      <c r="B30" s="308"/>
      <c r="C30" s="290"/>
      <c r="D30" s="311"/>
      <c r="E30" s="323"/>
      <c r="F30" s="272"/>
      <c r="G30" s="275"/>
      <c r="H30" s="293"/>
      <c r="I30" s="290"/>
      <c r="J30" s="278"/>
      <c r="K30" s="280"/>
      <c r="L30" s="282"/>
      <c r="M30" s="284"/>
      <c r="N30" s="85" t="s">
        <v>28</v>
      </c>
      <c r="O30" s="190">
        <v>0.14000000000000001</v>
      </c>
      <c r="P30" s="137">
        <f t="shared" ref="P30:P52" si="3">+O30*AD30</f>
        <v>9.1000000000000011E-2</v>
      </c>
      <c r="Q30" s="138">
        <f t="shared" ref="Q30:Q52" si="4">+P30/O30</f>
        <v>0.65</v>
      </c>
      <c r="R30" s="139">
        <f t="shared" si="0"/>
        <v>0.14000000000000001</v>
      </c>
      <c r="S30" s="82">
        <f t="shared" ref="S30:S52" si="5">+R30/O30</f>
        <v>1</v>
      </c>
      <c r="T30" s="84" t="s">
        <v>29</v>
      </c>
      <c r="U30" s="85" t="s">
        <v>30</v>
      </c>
      <c r="V30" s="85" t="s">
        <v>31</v>
      </c>
      <c r="W30" s="140">
        <v>1</v>
      </c>
      <c r="X30" s="90">
        <v>0.65</v>
      </c>
      <c r="Y30" s="90">
        <v>0.65</v>
      </c>
      <c r="Z30" s="87">
        <f t="shared" si="1"/>
        <v>1</v>
      </c>
      <c r="AA30" s="87">
        <v>1</v>
      </c>
      <c r="AB30" s="141" t="s">
        <v>27</v>
      </c>
      <c r="AC30" s="166" t="s">
        <v>27</v>
      </c>
      <c r="AD30" s="83">
        <f t="shared" si="2"/>
        <v>0.65</v>
      </c>
      <c r="AE30" s="88"/>
      <c r="AF30" s="193" t="s">
        <v>341</v>
      </c>
    </row>
    <row r="31" spans="2:33" ht="78.75" x14ac:dyDescent="0.25">
      <c r="B31" s="308"/>
      <c r="C31" s="290"/>
      <c r="D31" s="311"/>
      <c r="E31" s="323"/>
      <c r="F31" s="272"/>
      <c r="G31" s="275"/>
      <c r="H31" s="293"/>
      <c r="I31" s="290"/>
      <c r="J31" s="278"/>
      <c r="K31" s="280"/>
      <c r="L31" s="282"/>
      <c r="M31" s="284"/>
      <c r="N31" s="142" t="s">
        <v>32</v>
      </c>
      <c r="O31" s="190">
        <v>0.2</v>
      </c>
      <c r="P31" s="137">
        <f t="shared" si="3"/>
        <v>0.13</v>
      </c>
      <c r="Q31" s="138">
        <f t="shared" si="4"/>
        <v>0.65</v>
      </c>
      <c r="R31" s="139">
        <f t="shared" si="0"/>
        <v>0.2</v>
      </c>
      <c r="S31" s="82">
        <f t="shared" si="5"/>
        <v>1</v>
      </c>
      <c r="T31" s="84" t="s">
        <v>25</v>
      </c>
      <c r="U31" s="85" t="s">
        <v>33</v>
      </c>
      <c r="V31" s="85" t="s">
        <v>34</v>
      </c>
      <c r="W31" s="143">
        <v>1</v>
      </c>
      <c r="X31" s="86">
        <v>0.65</v>
      </c>
      <c r="Y31" s="86">
        <v>0.65</v>
      </c>
      <c r="Z31" s="87">
        <f t="shared" si="1"/>
        <v>1</v>
      </c>
      <c r="AA31" s="87">
        <v>1</v>
      </c>
      <c r="AB31" s="141" t="s">
        <v>27</v>
      </c>
      <c r="AC31" s="166" t="s">
        <v>27</v>
      </c>
      <c r="AD31" s="83">
        <f t="shared" si="2"/>
        <v>0.65</v>
      </c>
      <c r="AE31" s="88"/>
      <c r="AF31" s="193" t="s">
        <v>362</v>
      </c>
    </row>
    <row r="32" spans="2:33" ht="78.75" x14ac:dyDescent="0.25">
      <c r="B32" s="308"/>
      <c r="C32" s="290"/>
      <c r="D32" s="311"/>
      <c r="E32" s="323"/>
      <c r="F32" s="272"/>
      <c r="G32" s="275"/>
      <c r="H32" s="293"/>
      <c r="I32" s="290"/>
      <c r="J32" s="278"/>
      <c r="K32" s="280"/>
      <c r="L32" s="282"/>
      <c r="M32" s="284"/>
      <c r="N32" s="142" t="s">
        <v>35</v>
      </c>
      <c r="O32" s="190">
        <v>0.05</v>
      </c>
      <c r="P32" s="137">
        <f t="shared" si="3"/>
        <v>4.0000000000000008E-2</v>
      </c>
      <c r="Q32" s="138">
        <f t="shared" si="4"/>
        <v>0.80000000000000016</v>
      </c>
      <c r="R32" s="139">
        <f t="shared" si="0"/>
        <v>0.05</v>
      </c>
      <c r="S32" s="82">
        <f t="shared" si="5"/>
        <v>1</v>
      </c>
      <c r="T32" s="84" t="s">
        <v>25</v>
      </c>
      <c r="U32" s="85" t="s">
        <v>36</v>
      </c>
      <c r="V32" s="85" t="s">
        <v>31</v>
      </c>
      <c r="W32" s="140">
        <v>1</v>
      </c>
      <c r="X32" s="90">
        <v>0.8</v>
      </c>
      <c r="Y32" s="90">
        <v>0.8</v>
      </c>
      <c r="Z32" s="87">
        <f t="shared" si="1"/>
        <v>1</v>
      </c>
      <c r="AA32" s="87">
        <v>1</v>
      </c>
      <c r="AB32" s="141" t="s">
        <v>27</v>
      </c>
      <c r="AC32" s="166" t="s">
        <v>27</v>
      </c>
      <c r="AD32" s="83">
        <f t="shared" si="2"/>
        <v>0.8</v>
      </c>
      <c r="AE32" s="88"/>
      <c r="AF32" s="193" t="s">
        <v>342</v>
      </c>
    </row>
    <row r="33" spans="2:36" ht="210" x14ac:dyDescent="0.25">
      <c r="B33" s="308"/>
      <c r="C33" s="290"/>
      <c r="D33" s="311"/>
      <c r="E33" s="323"/>
      <c r="F33" s="272"/>
      <c r="G33" s="275"/>
      <c r="H33" s="293"/>
      <c r="I33" s="290"/>
      <c r="J33" s="278"/>
      <c r="K33" s="280"/>
      <c r="L33" s="282"/>
      <c r="M33" s="284"/>
      <c r="N33" s="85" t="s">
        <v>37</v>
      </c>
      <c r="O33" s="190">
        <v>0.16</v>
      </c>
      <c r="P33" s="137">
        <f t="shared" si="3"/>
        <v>0.11199999999999999</v>
      </c>
      <c r="Q33" s="138">
        <f t="shared" si="4"/>
        <v>0.7</v>
      </c>
      <c r="R33" s="139">
        <f t="shared" si="0"/>
        <v>0.16</v>
      </c>
      <c r="S33" s="82">
        <f t="shared" si="5"/>
        <v>1</v>
      </c>
      <c r="T33" s="84" t="s">
        <v>38</v>
      </c>
      <c r="U33" s="85" t="s">
        <v>39</v>
      </c>
      <c r="V33" s="85" t="s">
        <v>31</v>
      </c>
      <c r="W33" s="140">
        <v>1</v>
      </c>
      <c r="X33" s="90">
        <v>0.7</v>
      </c>
      <c r="Y33" s="90">
        <v>0.7</v>
      </c>
      <c r="Z33" s="87">
        <f t="shared" si="1"/>
        <v>1</v>
      </c>
      <c r="AA33" s="87">
        <v>1</v>
      </c>
      <c r="AB33" s="141" t="s">
        <v>27</v>
      </c>
      <c r="AC33" s="166" t="s">
        <v>27</v>
      </c>
      <c r="AD33" s="83">
        <f t="shared" si="2"/>
        <v>0.7</v>
      </c>
      <c r="AE33" s="88"/>
      <c r="AF33" s="193" t="s">
        <v>343</v>
      </c>
    </row>
    <row r="34" spans="2:36" ht="157.5" x14ac:dyDescent="0.25">
      <c r="B34" s="308"/>
      <c r="C34" s="290"/>
      <c r="D34" s="311"/>
      <c r="E34" s="323"/>
      <c r="F34" s="272"/>
      <c r="G34" s="275"/>
      <c r="H34" s="293"/>
      <c r="I34" s="290"/>
      <c r="J34" s="278"/>
      <c r="K34" s="280"/>
      <c r="L34" s="282"/>
      <c r="M34" s="284"/>
      <c r="N34" s="85" t="s">
        <v>40</v>
      </c>
      <c r="O34" s="190">
        <v>0.15</v>
      </c>
      <c r="P34" s="137">
        <f t="shared" si="3"/>
        <v>8.4000000000000005E-2</v>
      </c>
      <c r="Q34" s="138">
        <f t="shared" si="4"/>
        <v>0.56000000000000005</v>
      </c>
      <c r="R34" s="139">
        <f>+O34*Z34</f>
        <v>0.15</v>
      </c>
      <c r="S34" s="82">
        <f t="shared" si="5"/>
        <v>1</v>
      </c>
      <c r="T34" s="84" t="s">
        <v>29</v>
      </c>
      <c r="U34" s="85" t="s">
        <v>41</v>
      </c>
      <c r="V34" s="85" t="s">
        <v>31</v>
      </c>
      <c r="W34" s="140">
        <v>1</v>
      </c>
      <c r="X34" s="90">
        <v>0.56000000000000005</v>
      </c>
      <c r="Y34" s="90">
        <v>0.56000000000000005</v>
      </c>
      <c r="Z34" s="87">
        <f t="shared" si="1"/>
        <v>1</v>
      </c>
      <c r="AA34" s="87">
        <v>1</v>
      </c>
      <c r="AB34" s="141" t="s">
        <v>27</v>
      </c>
      <c r="AC34" s="166" t="s">
        <v>27</v>
      </c>
      <c r="AD34" s="83">
        <f t="shared" si="2"/>
        <v>0.56000000000000005</v>
      </c>
      <c r="AE34" s="88"/>
      <c r="AF34" s="193" t="s">
        <v>344</v>
      </c>
    </row>
    <row r="35" spans="2:36" ht="210" x14ac:dyDescent="0.25">
      <c r="B35" s="308"/>
      <c r="C35" s="290"/>
      <c r="D35" s="311"/>
      <c r="E35" s="323"/>
      <c r="F35" s="272"/>
      <c r="G35" s="275"/>
      <c r="H35" s="293" t="s">
        <v>42</v>
      </c>
      <c r="I35" s="290">
        <v>0.51</v>
      </c>
      <c r="J35" s="259">
        <f>+SUM(P35:P37)*I35</f>
        <v>0.31518000000000002</v>
      </c>
      <c r="K35" s="261">
        <f>+J35/I35</f>
        <v>0.61799999999999999</v>
      </c>
      <c r="L35" s="263">
        <f>+SUM(R35:R37)*I35</f>
        <v>0.51</v>
      </c>
      <c r="M35" s="258">
        <f>+L35/I35</f>
        <v>1</v>
      </c>
      <c r="N35" s="85" t="s">
        <v>43</v>
      </c>
      <c r="O35" s="91">
        <v>0.41</v>
      </c>
      <c r="P35" s="137">
        <f t="shared" si="3"/>
        <v>0.20499999999999999</v>
      </c>
      <c r="Q35" s="138">
        <f t="shared" si="4"/>
        <v>0.5</v>
      </c>
      <c r="R35" s="139">
        <f t="shared" si="0"/>
        <v>0.41</v>
      </c>
      <c r="S35" s="82">
        <f t="shared" si="5"/>
        <v>1</v>
      </c>
      <c r="T35" s="84" t="s">
        <v>29</v>
      </c>
      <c r="U35" s="85" t="s">
        <v>44</v>
      </c>
      <c r="V35" s="85" t="s">
        <v>34</v>
      </c>
      <c r="W35" s="143">
        <v>6</v>
      </c>
      <c r="X35" s="86">
        <v>3</v>
      </c>
      <c r="Y35" s="86">
        <v>3</v>
      </c>
      <c r="Z35" s="87">
        <f t="shared" si="1"/>
        <v>1</v>
      </c>
      <c r="AA35" s="87">
        <v>1</v>
      </c>
      <c r="AB35" s="141" t="s">
        <v>27</v>
      </c>
      <c r="AC35" s="166" t="s">
        <v>27</v>
      </c>
      <c r="AD35" s="83">
        <f t="shared" si="2"/>
        <v>0.5</v>
      </c>
      <c r="AE35" s="88"/>
      <c r="AF35" s="193" t="s">
        <v>359</v>
      </c>
    </row>
    <row r="36" spans="2:36" ht="315" x14ac:dyDescent="0.25">
      <c r="B36" s="308"/>
      <c r="C36" s="290"/>
      <c r="D36" s="311"/>
      <c r="E36" s="323"/>
      <c r="F36" s="272"/>
      <c r="G36" s="275"/>
      <c r="H36" s="293"/>
      <c r="I36" s="290"/>
      <c r="J36" s="252"/>
      <c r="K36" s="261"/>
      <c r="L36" s="263"/>
      <c r="M36" s="249"/>
      <c r="N36" s="85" t="s">
        <v>45</v>
      </c>
      <c r="O36" s="91">
        <v>0.25</v>
      </c>
      <c r="P36" s="137">
        <f t="shared" si="3"/>
        <v>0.17499999999999999</v>
      </c>
      <c r="Q36" s="138">
        <f t="shared" si="4"/>
        <v>0.7</v>
      </c>
      <c r="R36" s="139">
        <f t="shared" si="0"/>
        <v>0.25</v>
      </c>
      <c r="S36" s="82">
        <f t="shared" si="5"/>
        <v>1</v>
      </c>
      <c r="T36" s="89" t="s">
        <v>38</v>
      </c>
      <c r="U36" s="85" t="s">
        <v>30</v>
      </c>
      <c r="V36" s="85" t="s">
        <v>31</v>
      </c>
      <c r="W36" s="140">
        <v>1</v>
      </c>
      <c r="X36" s="92">
        <v>0.7</v>
      </c>
      <c r="Y36" s="92">
        <v>0.7</v>
      </c>
      <c r="Z36" s="87">
        <f t="shared" si="1"/>
        <v>1</v>
      </c>
      <c r="AA36" s="87">
        <v>1</v>
      </c>
      <c r="AB36" s="141" t="s">
        <v>27</v>
      </c>
      <c r="AC36" s="166" t="s">
        <v>27</v>
      </c>
      <c r="AD36" s="83">
        <f t="shared" si="2"/>
        <v>0.7</v>
      </c>
      <c r="AE36" s="88"/>
      <c r="AF36" s="193" t="s">
        <v>345</v>
      </c>
    </row>
    <row r="37" spans="2:36" ht="263.25" thickBot="1" x14ac:dyDescent="0.3">
      <c r="B37" s="319"/>
      <c r="C37" s="291"/>
      <c r="D37" s="321"/>
      <c r="E37" s="324"/>
      <c r="F37" s="273"/>
      <c r="G37" s="276"/>
      <c r="H37" s="325"/>
      <c r="I37" s="291"/>
      <c r="J37" s="285"/>
      <c r="K37" s="286"/>
      <c r="L37" s="287"/>
      <c r="M37" s="288"/>
      <c r="N37" s="200" t="s">
        <v>322</v>
      </c>
      <c r="O37" s="201">
        <v>0.34</v>
      </c>
      <c r="P37" s="202">
        <f t="shared" si="3"/>
        <v>0.23799999999999999</v>
      </c>
      <c r="Q37" s="203">
        <f t="shared" si="4"/>
        <v>0.7</v>
      </c>
      <c r="R37" s="204">
        <f t="shared" si="0"/>
        <v>0.34</v>
      </c>
      <c r="S37" s="205">
        <f t="shared" si="5"/>
        <v>1</v>
      </c>
      <c r="T37" s="206" t="s">
        <v>29</v>
      </c>
      <c r="U37" s="200" t="s">
        <v>30</v>
      </c>
      <c r="V37" s="200" t="s">
        <v>31</v>
      </c>
      <c r="W37" s="207">
        <v>1</v>
      </c>
      <c r="X37" s="208">
        <v>0.7</v>
      </c>
      <c r="Y37" s="208">
        <v>0.7</v>
      </c>
      <c r="Z37" s="198">
        <f t="shared" si="1"/>
        <v>1</v>
      </c>
      <c r="AA37" s="198">
        <v>1</v>
      </c>
      <c r="AB37" s="209" t="s">
        <v>27</v>
      </c>
      <c r="AC37" s="210" t="s">
        <v>27</v>
      </c>
      <c r="AD37" s="211">
        <f t="shared" si="2"/>
        <v>0.7</v>
      </c>
      <c r="AE37" s="212"/>
      <c r="AF37" s="213" t="s">
        <v>363</v>
      </c>
    </row>
    <row r="38" spans="2:36" ht="195" customHeight="1" x14ac:dyDescent="0.25">
      <c r="B38" s="316" t="s">
        <v>46</v>
      </c>
      <c r="C38" s="289">
        <v>0.4</v>
      </c>
      <c r="D38" s="317">
        <f>+SUM(J38:J47)*C38</f>
        <v>0.25740161124677635</v>
      </c>
      <c r="E38" s="318">
        <f>+D38/C38</f>
        <v>0.64350402811694085</v>
      </c>
      <c r="F38" s="294">
        <f>+SUM(L38:L47)*C38</f>
        <v>0.37468390155791376</v>
      </c>
      <c r="G38" s="297">
        <f>+F38/C38</f>
        <v>0.93670975389478439</v>
      </c>
      <c r="H38" s="292" t="s">
        <v>47</v>
      </c>
      <c r="I38" s="289">
        <v>0.48</v>
      </c>
      <c r="J38" s="251">
        <f>+SUM(P38:P43)*I38</f>
        <v>0.28799999999999998</v>
      </c>
      <c r="K38" s="253">
        <f>+J38/I38</f>
        <v>0.6</v>
      </c>
      <c r="L38" s="255">
        <f>+SUM(R38:R43)*I38</f>
        <v>0.48</v>
      </c>
      <c r="M38" s="257">
        <f>+L38/I38</f>
        <v>1</v>
      </c>
      <c r="N38" s="123" t="s">
        <v>48</v>
      </c>
      <c r="O38" s="196">
        <v>0.26</v>
      </c>
      <c r="P38" s="124">
        <f t="shared" si="3"/>
        <v>0.26</v>
      </c>
      <c r="Q38" s="125">
        <f t="shared" si="4"/>
        <v>1</v>
      </c>
      <c r="R38" s="126">
        <f t="shared" si="0"/>
        <v>0.26</v>
      </c>
      <c r="S38" s="127">
        <f t="shared" si="5"/>
        <v>1</v>
      </c>
      <c r="T38" s="153" t="s">
        <v>49</v>
      </c>
      <c r="U38" s="123" t="s">
        <v>50</v>
      </c>
      <c r="V38" s="123" t="s">
        <v>34</v>
      </c>
      <c r="W38" s="154">
        <v>1</v>
      </c>
      <c r="X38" s="155">
        <v>1</v>
      </c>
      <c r="Y38" s="155">
        <v>1</v>
      </c>
      <c r="Z38" s="133">
        <f t="shared" si="1"/>
        <v>1</v>
      </c>
      <c r="AA38" s="133">
        <v>1</v>
      </c>
      <c r="AB38" s="134" t="s">
        <v>27</v>
      </c>
      <c r="AC38" s="167" t="s">
        <v>27</v>
      </c>
      <c r="AD38" s="135">
        <f t="shared" si="2"/>
        <v>1</v>
      </c>
      <c r="AE38" s="136"/>
      <c r="AF38" s="194" t="s">
        <v>51</v>
      </c>
    </row>
    <row r="39" spans="2:36" ht="183.75" x14ac:dyDescent="0.25">
      <c r="B39" s="308"/>
      <c r="C39" s="290"/>
      <c r="D39" s="311"/>
      <c r="E39" s="314"/>
      <c r="F39" s="295"/>
      <c r="G39" s="275"/>
      <c r="H39" s="293"/>
      <c r="I39" s="290"/>
      <c r="J39" s="252"/>
      <c r="K39" s="254"/>
      <c r="L39" s="256"/>
      <c r="M39" s="249"/>
      <c r="N39" s="85" t="s">
        <v>52</v>
      </c>
      <c r="O39" s="197">
        <v>0.2</v>
      </c>
      <c r="P39" s="137">
        <f t="shared" si="3"/>
        <v>0</v>
      </c>
      <c r="Q39" s="138">
        <f t="shared" si="4"/>
        <v>0</v>
      </c>
      <c r="R39" s="139">
        <f t="shared" si="0"/>
        <v>0.2</v>
      </c>
      <c r="S39" s="82">
        <f t="shared" si="5"/>
        <v>1</v>
      </c>
      <c r="T39" s="89" t="s">
        <v>49</v>
      </c>
      <c r="U39" s="142" t="s">
        <v>53</v>
      </c>
      <c r="V39" s="85" t="s">
        <v>34</v>
      </c>
      <c r="W39" s="143">
        <v>3</v>
      </c>
      <c r="X39" s="86">
        <v>0</v>
      </c>
      <c r="Y39" s="86">
        <v>0</v>
      </c>
      <c r="Z39" s="87">
        <v>1</v>
      </c>
      <c r="AA39" s="87">
        <v>0</v>
      </c>
      <c r="AB39" s="141" t="s">
        <v>27</v>
      </c>
      <c r="AC39" s="168" t="s">
        <v>27</v>
      </c>
      <c r="AD39" s="83">
        <f t="shared" si="2"/>
        <v>0</v>
      </c>
      <c r="AE39" s="88"/>
      <c r="AF39" s="193" t="s">
        <v>328</v>
      </c>
    </row>
    <row r="40" spans="2:36" ht="236.25" x14ac:dyDescent="0.25">
      <c r="B40" s="308"/>
      <c r="C40" s="290"/>
      <c r="D40" s="311"/>
      <c r="E40" s="314"/>
      <c r="F40" s="295"/>
      <c r="G40" s="275"/>
      <c r="H40" s="293"/>
      <c r="I40" s="290"/>
      <c r="J40" s="252"/>
      <c r="K40" s="254"/>
      <c r="L40" s="256"/>
      <c r="M40" s="249"/>
      <c r="N40" s="85" t="s">
        <v>54</v>
      </c>
      <c r="O40" s="197">
        <v>0.16</v>
      </c>
      <c r="P40" s="137">
        <f t="shared" si="3"/>
        <v>0.16</v>
      </c>
      <c r="Q40" s="138">
        <f t="shared" si="4"/>
        <v>1</v>
      </c>
      <c r="R40" s="139">
        <f t="shared" si="0"/>
        <v>0.16</v>
      </c>
      <c r="S40" s="82">
        <f t="shared" si="5"/>
        <v>1</v>
      </c>
      <c r="T40" s="89" t="s">
        <v>49</v>
      </c>
      <c r="U40" s="85" t="s">
        <v>30</v>
      </c>
      <c r="V40" s="85" t="s">
        <v>31</v>
      </c>
      <c r="W40" s="140">
        <v>1</v>
      </c>
      <c r="X40" s="92">
        <v>1</v>
      </c>
      <c r="Y40" s="92">
        <v>1</v>
      </c>
      <c r="Z40" s="87">
        <f t="shared" si="1"/>
        <v>1</v>
      </c>
      <c r="AA40" s="87">
        <v>1</v>
      </c>
      <c r="AB40" s="141" t="s">
        <v>27</v>
      </c>
      <c r="AC40" s="166" t="s">
        <v>27</v>
      </c>
      <c r="AD40" s="83">
        <f t="shared" si="2"/>
        <v>1</v>
      </c>
      <c r="AE40" s="88"/>
      <c r="AF40" s="193" t="s">
        <v>323</v>
      </c>
    </row>
    <row r="41" spans="2:36" ht="221.25" customHeight="1" x14ac:dyDescent="0.25">
      <c r="B41" s="308"/>
      <c r="C41" s="290"/>
      <c r="D41" s="311"/>
      <c r="E41" s="314"/>
      <c r="F41" s="295"/>
      <c r="G41" s="275"/>
      <c r="H41" s="293"/>
      <c r="I41" s="290"/>
      <c r="J41" s="252"/>
      <c r="K41" s="254"/>
      <c r="L41" s="256"/>
      <c r="M41" s="249"/>
      <c r="N41" s="85" t="s">
        <v>55</v>
      </c>
      <c r="O41" s="197">
        <v>0.2</v>
      </c>
      <c r="P41" s="137">
        <f t="shared" si="3"/>
        <v>0</v>
      </c>
      <c r="Q41" s="138">
        <f t="shared" si="4"/>
        <v>0</v>
      </c>
      <c r="R41" s="139">
        <f t="shared" si="0"/>
        <v>0.2</v>
      </c>
      <c r="S41" s="82">
        <f t="shared" si="5"/>
        <v>1</v>
      </c>
      <c r="T41" s="89" t="s">
        <v>56</v>
      </c>
      <c r="U41" s="85" t="s">
        <v>57</v>
      </c>
      <c r="V41" s="85" t="s">
        <v>34</v>
      </c>
      <c r="W41" s="143">
        <v>1</v>
      </c>
      <c r="X41" s="86">
        <v>0</v>
      </c>
      <c r="Y41" s="86">
        <v>0</v>
      </c>
      <c r="Z41" s="87">
        <v>1</v>
      </c>
      <c r="AA41" s="87">
        <v>0</v>
      </c>
      <c r="AB41" s="141" t="s">
        <v>27</v>
      </c>
      <c r="AC41" s="168" t="s">
        <v>27</v>
      </c>
      <c r="AD41" s="83">
        <f t="shared" si="2"/>
        <v>0</v>
      </c>
      <c r="AE41" s="88"/>
      <c r="AF41" s="193" t="s">
        <v>364</v>
      </c>
    </row>
    <row r="42" spans="2:36" ht="236.25" x14ac:dyDescent="0.25">
      <c r="B42" s="308"/>
      <c r="C42" s="290"/>
      <c r="D42" s="311"/>
      <c r="E42" s="314"/>
      <c r="F42" s="295"/>
      <c r="G42" s="275"/>
      <c r="H42" s="293"/>
      <c r="I42" s="290"/>
      <c r="J42" s="252"/>
      <c r="K42" s="254"/>
      <c r="L42" s="256"/>
      <c r="M42" s="249"/>
      <c r="N42" s="85" t="s">
        <v>58</v>
      </c>
      <c r="O42" s="197">
        <v>0.09</v>
      </c>
      <c r="P42" s="137">
        <f t="shared" si="3"/>
        <v>0.09</v>
      </c>
      <c r="Q42" s="138">
        <f t="shared" si="4"/>
        <v>1</v>
      </c>
      <c r="R42" s="139">
        <f t="shared" si="0"/>
        <v>0.09</v>
      </c>
      <c r="S42" s="82">
        <f t="shared" si="5"/>
        <v>1</v>
      </c>
      <c r="T42" s="89" t="s">
        <v>49</v>
      </c>
      <c r="U42" s="85" t="s">
        <v>59</v>
      </c>
      <c r="V42" s="85" t="s">
        <v>31</v>
      </c>
      <c r="W42" s="140">
        <v>1</v>
      </c>
      <c r="X42" s="92">
        <v>1</v>
      </c>
      <c r="Y42" s="92">
        <v>1</v>
      </c>
      <c r="Z42" s="87">
        <f t="shared" si="1"/>
        <v>1</v>
      </c>
      <c r="AA42" s="87">
        <v>1</v>
      </c>
      <c r="AB42" s="141" t="s">
        <v>27</v>
      </c>
      <c r="AC42" s="166" t="s">
        <v>27</v>
      </c>
      <c r="AD42" s="83">
        <f t="shared" si="2"/>
        <v>1</v>
      </c>
      <c r="AE42" s="88"/>
      <c r="AF42" s="193" t="s">
        <v>329</v>
      </c>
    </row>
    <row r="43" spans="2:36" ht="262.5" x14ac:dyDescent="0.25">
      <c r="B43" s="308"/>
      <c r="C43" s="290"/>
      <c r="D43" s="311"/>
      <c r="E43" s="314"/>
      <c r="F43" s="295"/>
      <c r="G43" s="275"/>
      <c r="H43" s="293"/>
      <c r="I43" s="290"/>
      <c r="J43" s="252"/>
      <c r="K43" s="254"/>
      <c r="L43" s="256"/>
      <c r="M43" s="249"/>
      <c r="N43" s="85" t="s">
        <v>60</v>
      </c>
      <c r="O43" s="197">
        <v>0.09</v>
      </c>
      <c r="P43" s="137">
        <f t="shared" si="3"/>
        <v>0.09</v>
      </c>
      <c r="Q43" s="138">
        <f t="shared" si="4"/>
        <v>1</v>
      </c>
      <c r="R43" s="139">
        <f t="shared" si="0"/>
        <v>0.09</v>
      </c>
      <c r="S43" s="82">
        <f t="shared" si="5"/>
        <v>1</v>
      </c>
      <c r="T43" s="89" t="s">
        <v>49</v>
      </c>
      <c r="U43" s="85" t="s">
        <v>59</v>
      </c>
      <c r="V43" s="85" t="s">
        <v>31</v>
      </c>
      <c r="W43" s="140">
        <v>1</v>
      </c>
      <c r="X43" s="92">
        <v>1</v>
      </c>
      <c r="Y43" s="92">
        <v>1</v>
      </c>
      <c r="Z43" s="87">
        <f t="shared" si="1"/>
        <v>1</v>
      </c>
      <c r="AA43" s="87">
        <v>1</v>
      </c>
      <c r="AB43" s="141" t="s">
        <v>27</v>
      </c>
      <c r="AC43" s="166" t="s">
        <v>27</v>
      </c>
      <c r="AD43" s="83">
        <f t="shared" si="2"/>
        <v>1</v>
      </c>
      <c r="AE43" s="88"/>
      <c r="AF43" s="193" t="s">
        <v>324</v>
      </c>
    </row>
    <row r="44" spans="2:36" ht="210" x14ac:dyDescent="0.25">
      <c r="B44" s="308"/>
      <c r="C44" s="290"/>
      <c r="D44" s="311"/>
      <c r="E44" s="314"/>
      <c r="F44" s="295"/>
      <c r="G44" s="275"/>
      <c r="H44" s="293" t="s">
        <v>61</v>
      </c>
      <c r="I44" s="290">
        <v>0.52</v>
      </c>
      <c r="J44" s="259">
        <f>+SUM(P44:P47)*I44</f>
        <v>0.35550402811694087</v>
      </c>
      <c r="K44" s="261">
        <f>+J44/I44</f>
        <v>0.68366159253257863</v>
      </c>
      <c r="L44" s="263">
        <f>+SUM(R44:R47)*I44</f>
        <v>0.45670975389478446</v>
      </c>
      <c r="M44" s="258">
        <f>+L44/I44</f>
        <v>0.87828798825920085</v>
      </c>
      <c r="N44" s="85" t="s">
        <v>313</v>
      </c>
      <c r="O44" s="156">
        <v>0.34883720930232559</v>
      </c>
      <c r="P44" s="137">
        <f t="shared" si="3"/>
        <v>0.18366159253257872</v>
      </c>
      <c r="Q44" s="138">
        <f t="shared" si="4"/>
        <v>0.52649656526005895</v>
      </c>
      <c r="R44" s="139">
        <f t="shared" si="0"/>
        <v>0.22712519756152633</v>
      </c>
      <c r="S44" s="82">
        <f t="shared" si="5"/>
        <v>0.65109223300970875</v>
      </c>
      <c r="T44" s="89" t="s">
        <v>62</v>
      </c>
      <c r="U44" s="85" t="s">
        <v>63</v>
      </c>
      <c r="V44" s="85" t="s">
        <v>64</v>
      </c>
      <c r="W44" s="143">
        <v>40.76</v>
      </c>
      <c r="X44" s="86">
        <v>32.96</v>
      </c>
      <c r="Y44" s="165">
        <v>21.46</v>
      </c>
      <c r="Z44" s="87">
        <f t="shared" si="1"/>
        <v>0.65109223300970875</v>
      </c>
      <c r="AA44" s="87">
        <f>+Y44/X44</f>
        <v>0.65109223300970875</v>
      </c>
      <c r="AB44" s="141" t="s">
        <v>27</v>
      </c>
      <c r="AC44" s="231" t="s">
        <v>27</v>
      </c>
      <c r="AD44" s="83">
        <f t="shared" si="2"/>
        <v>0.52649656526005895</v>
      </c>
      <c r="AE44" s="88"/>
      <c r="AF44" s="193" t="s">
        <v>356</v>
      </c>
      <c r="AJ44" s="164"/>
    </row>
    <row r="45" spans="2:36" ht="183.75" x14ac:dyDescent="0.25">
      <c r="B45" s="308"/>
      <c r="C45" s="290"/>
      <c r="D45" s="311"/>
      <c r="E45" s="314"/>
      <c r="F45" s="295"/>
      <c r="G45" s="275"/>
      <c r="H45" s="293"/>
      <c r="I45" s="290"/>
      <c r="J45" s="252"/>
      <c r="K45" s="261"/>
      <c r="L45" s="263"/>
      <c r="M45" s="249"/>
      <c r="N45" s="85" t="s">
        <v>65</v>
      </c>
      <c r="O45" s="156">
        <v>0.23255813953488375</v>
      </c>
      <c r="P45" s="137">
        <f t="shared" si="3"/>
        <v>0.23255813953488375</v>
      </c>
      <c r="Q45" s="138">
        <f t="shared" si="4"/>
        <v>1</v>
      </c>
      <c r="R45" s="139">
        <f t="shared" si="0"/>
        <v>0.23255813953488375</v>
      </c>
      <c r="S45" s="82">
        <f t="shared" si="5"/>
        <v>1</v>
      </c>
      <c r="T45" s="89" t="s">
        <v>66</v>
      </c>
      <c r="U45" s="85" t="s">
        <v>67</v>
      </c>
      <c r="V45" s="85" t="s">
        <v>64</v>
      </c>
      <c r="W45" s="143">
        <v>229</v>
      </c>
      <c r="X45" s="86">
        <v>229</v>
      </c>
      <c r="Y45" s="86">
        <v>229</v>
      </c>
      <c r="Z45" s="87">
        <f t="shared" si="1"/>
        <v>1</v>
      </c>
      <c r="AA45" s="87">
        <v>1</v>
      </c>
      <c r="AB45" s="141" t="s">
        <v>27</v>
      </c>
      <c r="AC45" s="166" t="s">
        <v>27</v>
      </c>
      <c r="AD45" s="83">
        <f t="shared" si="2"/>
        <v>1</v>
      </c>
      <c r="AE45" s="88"/>
      <c r="AF45" s="193" t="s">
        <v>325</v>
      </c>
    </row>
    <row r="46" spans="2:36" ht="183.75" x14ac:dyDescent="0.25">
      <c r="B46" s="308"/>
      <c r="C46" s="290"/>
      <c r="D46" s="311"/>
      <c r="E46" s="314"/>
      <c r="F46" s="295"/>
      <c r="G46" s="275"/>
      <c r="H46" s="293"/>
      <c r="I46" s="290"/>
      <c r="J46" s="252"/>
      <c r="K46" s="261"/>
      <c r="L46" s="263"/>
      <c r="M46" s="249"/>
      <c r="N46" s="85" t="s">
        <v>68</v>
      </c>
      <c r="O46" s="156">
        <v>0.23255813953488375</v>
      </c>
      <c r="P46" s="137">
        <f t="shared" si="3"/>
        <v>0.17441860465116282</v>
      </c>
      <c r="Q46" s="138">
        <f t="shared" si="4"/>
        <v>0.75000000000000011</v>
      </c>
      <c r="R46" s="139">
        <f t="shared" si="0"/>
        <v>0.23255813953488375</v>
      </c>
      <c r="S46" s="82">
        <f t="shared" si="5"/>
        <v>1</v>
      </c>
      <c r="T46" s="89" t="s">
        <v>62</v>
      </c>
      <c r="U46" s="85" t="s">
        <v>69</v>
      </c>
      <c r="V46" s="85" t="s">
        <v>31</v>
      </c>
      <c r="W46" s="140">
        <v>1</v>
      </c>
      <c r="X46" s="92">
        <v>0.75</v>
      </c>
      <c r="Y46" s="92">
        <v>0.75</v>
      </c>
      <c r="Z46" s="87">
        <f t="shared" si="1"/>
        <v>1</v>
      </c>
      <c r="AA46" s="87">
        <v>1</v>
      </c>
      <c r="AB46" s="141" t="s">
        <v>27</v>
      </c>
      <c r="AC46" s="166" t="s">
        <v>27</v>
      </c>
      <c r="AD46" s="83">
        <f t="shared" si="2"/>
        <v>0.75</v>
      </c>
      <c r="AE46" s="88"/>
      <c r="AF46" s="193" t="s">
        <v>348</v>
      </c>
    </row>
    <row r="47" spans="2:36" ht="198.75" customHeight="1" thickBot="1" x14ac:dyDescent="0.3">
      <c r="B47" s="309"/>
      <c r="C47" s="306"/>
      <c r="D47" s="312"/>
      <c r="E47" s="315"/>
      <c r="F47" s="296"/>
      <c r="G47" s="298"/>
      <c r="H47" s="304"/>
      <c r="I47" s="306"/>
      <c r="J47" s="260"/>
      <c r="K47" s="262"/>
      <c r="L47" s="264"/>
      <c r="M47" s="250"/>
      <c r="N47" s="144" t="s">
        <v>347</v>
      </c>
      <c r="O47" s="157">
        <v>0.18604651162790697</v>
      </c>
      <c r="P47" s="145">
        <f t="shared" si="3"/>
        <v>9.3023255813953487E-2</v>
      </c>
      <c r="Q47" s="146">
        <f t="shared" si="4"/>
        <v>0.5</v>
      </c>
      <c r="R47" s="147">
        <f t="shared" si="0"/>
        <v>0.18604651162790697</v>
      </c>
      <c r="S47" s="148">
        <f t="shared" si="5"/>
        <v>1</v>
      </c>
      <c r="T47" s="158" t="s">
        <v>62</v>
      </c>
      <c r="U47" s="144" t="s">
        <v>70</v>
      </c>
      <c r="V47" s="144" t="s">
        <v>34</v>
      </c>
      <c r="W47" s="159">
        <v>6</v>
      </c>
      <c r="X47" s="160">
        <v>3</v>
      </c>
      <c r="Y47" s="160">
        <v>3</v>
      </c>
      <c r="Z47" s="149">
        <f t="shared" si="1"/>
        <v>1</v>
      </c>
      <c r="AA47" s="149">
        <v>1</v>
      </c>
      <c r="AB47" s="150" t="s">
        <v>27</v>
      </c>
      <c r="AC47" s="230" t="s">
        <v>27</v>
      </c>
      <c r="AD47" s="151">
        <f t="shared" si="2"/>
        <v>0.5</v>
      </c>
      <c r="AE47" s="152"/>
      <c r="AF47" s="195" t="s">
        <v>346</v>
      </c>
    </row>
    <row r="48" spans="2:36" ht="205.5" customHeight="1" x14ac:dyDescent="0.25">
      <c r="B48" s="307" t="s">
        <v>71</v>
      </c>
      <c r="C48" s="305">
        <v>0.4</v>
      </c>
      <c r="D48" s="310">
        <f>+SUM(J48)*C48</f>
        <v>0.11749267658151748</v>
      </c>
      <c r="E48" s="313">
        <f>+D48/C48</f>
        <v>0.29373169145379369</v>
      </c>
      <c r="F48" s="299">
        <f>+SUM(L48)*C48</f>
        <v>0.40613840125391842</v>
      </c>
      <c r="G48" s="300">
        <f>IF((F48/C48)&gt;120%,120%,(F48/C48))</f>
        <v>1.0153460031347961</v>
      </c>
      <c r="H48" s="303" t="s">
        <v>72</v>
      </c>
      <c r="I48" s="305">
        <v>1</v>
      </c>
      <c r="J48" s="265">
        <f>+SUM(P48:P52)*I48</f>
        <v>0.29373169145379369</v>
      </c>
      <c r="K48" s="266">
        <f>+J48/I48</f>
        <v>0.29373169145379369</v>
      </c>
      <c r="L48" s="267">
        <f>+SUM(R48:R52)*I48</f>
        <v>1.0153460031347961</v>
      </c>
      <c r="M48" s="248">
        <f>(L48/I48)</f>
        <v>1.0153460031347961</v>
      </c>
      <c r="N48" s="214" t="s">
        <v>73</v>
      </c>
      <c r="O48" s="215">
        <v>0.3</v>
      </c>
      <c r="P48" s="216">
        <f t="shared" si="3"/>
        <v>0</v>
      </c>
      <c r="Q48" s="217">
        <f t="shared" si="4"/>
        <v>0</v>
      </c>
      <c r="R48" s="218">
        <f t="shared" si="0"/>
        <v>0.3</v>
      </c>
      <c r="S48" s="219">
        <f t="shared" si="5"/>
        <v>1</v>
      </c>
      <c r="T48" s="220" t="s">
        <v>62</v>
      </c>
      <c r="U48" s="214" t="s">
        <v>74</v>
      </c>
      <c r="V48" s="214" t="s">
        <v>34</v>
      </c>
      <c r="W48" s="221">
        <v>1</v>
      </c>
      <c r="X48" s="222">
        <v>0</v>
      </c>
      <c r="Y48" s="223">
        <v>0</v>
      </c>
      <c r="Z48" s="224">
        <v>1</v>
      </c>
      <c r="AA48" s="224">
        <v>0</v>
      </c>
      <c r="AB48" s="225" t="s">
        <v>27</v>
      </c>
      <c r="AC48" s="226" t="s">
        <v>27</v>
      </c>
      <c r="AD48" s="227">
        <f t="shared" si="2"/>
        <v>0</v>
      </c>
      <c r="AE48" s="228"/>
      <c r="AF48" s="229" t="s">
        <v>358</v>
      </c>
    </row>
    <row r="49" spans="2:34" ht="341.25" x14ac:dyDescent="0.25">
      <c r="B49" s="308"/>
      <c r="C49" s="290"/>
      <c r="D49" s="311"/>
      <c r="E49" s="314"/>
      <c r="F49" s="295"/>
      <c r="G49" s="301"/>
      <c r="H49" s="293"/>
      <c r="I49" s="290"/>
      <c r="J49" s="252"/>
      <c r="K49" s="261"/>
      <c r="L49" s="263"/>
      <c r="M49" s="249"/>
      <c r="N49" s="85" t="s">
        <v>315</v>
      </c>
      <c r="O49" s="190">
        <v>0.19</v>
      </c>
      <c r="P49" s="137">
        <f t="shared" si="3"/>
        <v>0.11666073738680466</v>
      </c>
      <c r="Q49" s="138">
        <f t="shared" si="4"/>
        <v>0.61400388098318237</v>
      </c>
      <c r="R49" s="139">
        <f t="shared" si="0"/>
        <v>0.14134600313479623</v>
      </c>
      <c r="S49" s="82">
        <f t="shared" si="5"/>
        <v>0.74392633228840122</v>
      </c>
      <c r="T49" s="89" t="s">
        <v>62</v>
      </c>
      <c r="U49" s="85" t="s">
        <v>75</v>
      </c>
      <c r="V49" s="85" t="s">
        <v>64</v>
      </c>
      <c r="W49" s="161">
        <v>61.84</v>
      </c>
      <c r="X49" s="86">
        <v>51.04</v>
      </c>
      <c r="Y49" s="86">
        <v>37.97</v>
      </c>
      <c r="Z49" s="87">
        <f t="shared" si="1"/>
        <v>0.74392633228840122</v>
      </c>
      <c r="AA49" s="87">
        <v>0.74399999999999999</v>
      </c>
      <c r="AB49" s="141" t="s">
        <v>27</v>
      </c>
      <c r="AC49" s="141" t="s">
        <v>27</v>
      </c>
      <c r="AD49" s="83">
        <f t="shared" si="2"/>
        <v>0.61400388098318237</v>
      </c>
      <c r="AE49" s="340"/>
      <c r="AF49" s="193" t="s">
        <v>357</v>
      </c>
      <c r="AH49" s="164"/>
    </row>
    <row r="50" spans="2:34" ht="183.75" x14ac:dyDescent="0.25">
      <c r="B50" s="308"/>
      <c r="C50" s="290"/>
      <c r="D50" s="311"/>
      <c r="E50" s="314"/>
      <c r="F50" s="295"/>
      <c r="G50" s="301"/>
      <c r="H50" s="293"/>
      <c r="I50" s="290"/>
      <c r="J50" s="252"/>
      <c r="K50" s="261"/>
      <c r="L50" s="263"/>
      <c r="M50" s="249"/>
      <c r="N50" s="85" t="s">
        <v>314</v>
      </c>
      <c r="O50" s="190">
        <v>0.19</v>
      </c>
      <c r="P50" s="137">
        <f t="shared" si="3"/>
        <v>0</v>
      </c>
      <c r="Q50" s="138">
        <f t="shared" si="4"/>
        <v>0</v>
      </c>
      <c r="R50" s="139">
        <f t="shared" si="0"/>
        <v>0.19</v>
      </c>
      <c r="S50" s="82">
        <f t="shared" si="5"/>
        <v>1</v>
      </c>
      <c r="T50" s="89" t="s">
        <v>66</v>
      </c>
      <c r="U50" s="85" t="s">
        <v>75</v>
      </c>
      <c r="V50" s="85" t="s">
        <v>64</v>
      </c>
      <c r="W50" s="143">
        <v>34.85</v>
      </c>
      <c r="X50" s="86">
        <v>0</v>
      </c>
      <c r="Y50" s="86">
        <v>0</v>
      </c>
      <c r="Z50" s="87">
        <v>1</v>
      </c>
      <c r="AA50" s="87">
        <v>0</v>
      </c>
      <c r="AB50" s="141" t="s">
        <v>27</v>
      </c>
      <c r="AC50" s="168" t="s">
        <v>27</v>
      </c>
      <c r="AD50" s="83">
        <f t="shared" si="2"/>
        <v>0</v>
      </c>
      <c r="AE50" s="88"/>
      <c r="AF50" s="193" t="s">
        <v>349</v>
      </c>
      <c r="AH50" s="188"/>
    </row>
    <row r="51" spans="2:34" ht="341.25" x14ac:dyDescent="0.25">
      <c r="B51" s="308"/>
      <c r="C51" s="290"/>
      <c r="D51" s="311"/>
      <c r="E51" s="314"/>
      <c r="F51" s="295"/>
      <c r="G51" s="301"/>
      <c r="H51" s="293"/>
      <c r="I51" s="290"/>
      <c r="J51" s="252"/>
      <c r="K51" s="261"/>
      <c r="L51" s="263"/>
      <c r="M51" s="249"/>
      <c r="N51" s="85" t="s">
        <v>326</v>
      </c>
      <c r="O51" s="190">
        <v>0.16</v>
      </c>
      <c r="P51" s="137">
        <f t="shared" si="3"/>
        <v>9.8377965639487322E-2</v>
      </c>
      <c r="Q51" s="138">
        <f t="shared" si="4"/>
        <v>0.61486228524679576</v>
      </c>
      <c r="R51" s="139">
        <f t="shared" si="0"/>
        <v>0.192</v>
      </c>
      <c r="S51" s="82">
        <f t="shared" si="5"/>
        <v>1.2</v>
      </c>
      <c r="T51" s="89" t="s">
        <v>62</v>
      </c>
      <c r="U51" s="85" t="s">
        <v>76</v>
      </c>
      <c r="V51" s="85" t="s">
        <v>64</v>
      </c>
      <c r="W51" s="143">
        <v>366.7</v>
      </c>
      <c r="X51" s="86">
        <v>178.72</v>
      </c>
      <c r="Y51" s="86">
        <v>225.47</v>
      </c>
      <c r="Z51" s="87">
        <f t="shared" si="1"/>
        <v>1.2</v>
      </c>
      <c r="AA51" s="87">
        <v>1.2</v>
      </c>
      <c r="AB51" s="141" t="s">
        <v>27</v>
      </c>
      <c r="AC51" s="141" t="s">
        <v>27</v>
      </c>
      <c r="AD51" s="83">
        <f t="shared" si="2"/>
        <v>0.61486228524679576</v>
      </c>
      <c r="AE51" s="88"/>
      <c r="AF51" s="193" t="s">
        <v>355</v>
      </c>
    </row>
    <row r="52" spans="2:34" ht="262.5" customHeight="1" thickBot="1" x14ac:dyDescent="0.3">
      <c r="B52" s="309"/>
      <c r="C52" s="306"/>
      <c r="D52" s="312"/>
      <c r="E52" s="315"/>
      <c r="F52" s="296"/>
      <c r="G52" s="302"/>
      <c r="H52" s="304"/>
      <c r="I52" s="306"/>
      <c r="J52" s="260"/>
      <c r="K52" s="262"/>
      <c r="L52" s="264"/>
      <c r="M52" s="250"/>
      <c r="N52" s="144" t="s">
        <v>327</v>
      </c>
      <c r="O52" s="191">
        <v>0.16</v>
      </c>
      <c r="P52" s="145">
        <f t="shared" si="3"/>
        <v>7.8692988427501706E-2</v>
      </c>
      <c r="Q52" s="146">
        <f t="shared" si="4"/>
        <v>0.49183117767188567</v>
      </c>
      <c r="R52" s="147">
        <f t="shared" si="0"/>
        <v>0.192</v>
      </c>
      <c r="S52" s="148">
        <f t="shared" si="5"/>
        <v>1.2</v>
      </c>
      <c r="T52" s="158" t="s">
        <v>66</v>
      </c>
      <c r="U52" s="144" t="s">
        <v>76</v>
      </c>
      <c r="V52" s="144" t="s">
        <v>64</v>
      </c>
      <c r="W52" s="159">
        <v>117.52</v>
      </c>
      <c r="X52" s="160">
        <v>5.16</v>
      </c>
      <c r="Y52" s="160">
        <v>57.8</v>
      </c>
      <c r="Z52" s="199">
        <f>+IF(Y52/X52&lt;120%,(Y52/X52),120%)</f>
        <v>1.2</v>
      </c>
      <c r="AA52" s="149">
        <v>1.2</v>
      </c>
      <c r="AB52" s="150" t="s">
        <v>27</v>
      </c>
      <c r="AC52" s="150" t="s">
        <v>27</v>
      </c>
      <c r="AD52" s="151">
        <f t="shared" si="2"/>
        <v>0.49183117767188561</v>
      </c>
      <c r="AE52" s="152"/>
      <c r="AF52" s="195" t="s">
        <v>360</v>
      </c>
    </row>
  </sheetData>
  <autoFilter ref="B28:AF52" xr:uid="{0E8F8555-1EAE-49D9-BBA9-1382328AF5D6}">
    <filterColumn colId="24" showButton="0"/>
    <filterColumn colId="25" showButton="0"/>
    <filterColumn colId="26" showButton="0"/>
  </autoFilter>
  <mergeCells count="53">
    <mergeCell ref="B29:B37"/>
    <mergeCell ref="C29:C37"/>
    <mergeCell ref="D29:D37"/>
    <mergeCell ref="E29:E37"/>
    <mergeCell ref="H29:H34"/>
    <mergeCell ref="H35:H37"/>
    <mergeCell ref="B48:B52"/>
    <mergeCell ref="C48:C52"/>
    <mergeCell ref="D48:D52"/>
    <mergeCell ref="E48:E52"/>
    <mergeCell ref="B38:B47"/>
    <mergeCell ref="C38:C47"/>
    <mergeCell ref="D38:D47"/>
    <mergeCell ref="E38:E47"/>
    <mergeCell ref="I38:I43"/>
    <mergeCell ref="H38:H43"/>
    <mergeCell ref="F38:F47"/>
    <mergeCell ref="G38:G47"/>
    <mergeCell ref="F48:F52"/>
    <mergeCell ref="G48:G52"/>
    <mergeCell ref="H48:H52"/>
    <mergeCell ref="I48:I52"/>
    <mergeCell ref="H44:H47"/>
    <mergeCell ref="I44:I47"/>
    <mergeCell ref="Z28:AC28"/>
    <mergeCell ref="F29:F37"/>
    <mergeCell ref="G29:G37"/>
    <mergeCell ref="J29:J34"/>
    <mergeCell ref="K29:K34"/>
    <mergeCell ref="L29:L34"/>
    <mergeCell ref="M29:M34"/>
    <mergeCell ref="J35:J37"/>
    <mergeCell ref="K35:K37"/>
    <mergeCell ref="L35:L37"/>
    <mergeCell ref="M35:M37"/>
    <mergeCell ref="I29:I34"/>
    <mergeCell ref="I35:I37"/>
    <mergeCell ref="A1:A3"/>
    <mergeCell ref="C2:AC2"/>
    <mergeCell ref="C3:AC3"/>
    <mergeCell ref="C1:AC1"/>
    <mergeCell ref="M48:M52"/>
    <mergeCell ref="J38:J43"/>
    <mergeCell ref="K38:K43"/>
    <mergeCell ref="L38:L43"/>
    <mergeCell ref="M38:M43"/>
    <mergeCell ref="M44:M47"/>
    <mergeCell ref="J44:J47"/>
    <mergeCell ref="K44:K47"/>
    <mergeCell ref="L44:L47"/>
    <mergeCell ref="J48:J52"/>
    <mergeCell ref="K48:K52"/>
    <mergeCell ref="L48:L52"/>
  </mergeCells>
  <conditionalFormatting sqref="AB29:AB52">
    <cfRule type="expression" dxfId="22" priority="23">
      <formula>+AND(X29=0%,Y29=0%)</formula>
    </cfRule>
    <cfRule type="expression" dxfId="21" priority="27">
      <formula>+AND(Z29&gt;=70%,Z29&lt;90%)</formula>
    </cfRule>
    <cfRule type="expression" dxfId="20" priority="28">
      <formula>+AND(X29&lt;&gt;0%,Y29=0%)</formula>
    </cfRule>
    <cfRule type="expression" dxfId="19" priority="29">
      <formula>Z29&gt;=90%</formula>
    </cfRule>
  </conditionalFormatting>
  <conditionalFormatting sqref="AE29:AE52">
    <cfRule type="iconSet" priority="30">
      <iconSet iconSet="4TrafficLights">
        <cfvo type="percent" val="0"/>
        <cfvo type="num" val="0" gte="0"/>
        <cfvo type="num" val="70"/>
        <cfvo type="num" val="90" gte="0"/>
      </iconSet>
    </cfRule>
  </conditionalFormatting>
  <conditionalFormatting sqref="AB30">
    <cfRule type="expression" dxfId="18" priority="24">
      <formula>+AND(Z30&gt;=70%,Z30&lt;90%)</formula>
    </cfRule>
    <cfRule type="expression" dxfId="17" priority="25">
      <formula>+AND(X30&lt;&gt;0%,Y30=0%)</formula>
    </cfRule>
    <cfRule type="expression" dxfId="16" priority="26">
      <formula>Z30&gt;=90%</formula>
    </cfRule>
  </conditionalFormatting>
  <conditionalFormatting sqref="AB29:AB52">
    <cfRule type="expression" dxfId="15" priority="22">
      <formula>+AND(Z29&gt;0%,Z29&lt;=69.9999999999999%,X29&lt;&gt;0%)</formula>
    </cfRule>
  </conditionalFormatting>
  <conditionalFormatting sqref="AC52">
    <cfRule type="expression" dxfId="14" priority="12">
      <formula>+AND(Y52=0%,Z52=0%)</formula>
    </cfRule>
    <cfRule type="expression" dxfId="13" priority="13">
      <formula>+AND(AA52&gt;=70%,AA52&lt;90%)</formula>
    </cfRule>
    <cfRule type="expression" dxfId="12" priority="14">
      <formula>+AND(Y52&lt;&gt;0%,Z52=0%)</formula>
    </cfRule>
    <cfRule type="expression" dxfId="11" priority="15">
      <formula>AA52&gt;=90%</formula>
    </cfRule>
  </conditionalFormatting>
  <conditionalFormatting sqref="AC52">
    <cfRule type="expression" dxfId="10" priority="11">
      <formula>+AND(AA52&gt;0%,AA52&lt;=69.9999999999999%,Y52&lt;&gt;0%)</formula>
    </cfRule>
  </conditionalFormatting>
  <conditionalFormatting sqref="AC51">
    <cfRule type="expression" dxfId="9" priority="7">
      <formula>+AND(Y51=0%,Z51=0%)</formula>
    </cfRule>
    <cfRule type="expression" dxfId="8" priority="8">
      <formula>+AND(AA51&gt;=70%,AA51&lt;90%)</formula>
    </cfRule>
    <cfRule type="expression" dxfId="7" priority="9">
      <formula>+AND(Y51&lt;&gt;0%,Z51=0%)</formula>
    </cfRule>
    <cfRule type="expression" dxfId="6" priority="10">
      <formula>AA51&gt;=90%</formula>
    </cfRule>
  </conditionalFormatting>
  <conditionalFormatting sqref="AC51">
    <cfRule type="expression" dxfId="5" priority="6">
      <formula>+AND(AA51&gt;0%,AA51&lt;=69.9999999999999%,Y51&lt;&gt;0%)</formula>
    </cfRule>
  </conditionalFormatting>
  <conditionalFormatting sqref="AC49">
    <cfRule type="expression" dxfId="4" priority="2">
      <formula>+AND(Y49=0%,Z49=0%)</formula>
    </cfRule>
    <cfRule type="expression" dxfId="3" priority="3">
      <formula>+AND(AA49&gt;=70%,AA49&lt;90%)</formula>
    </cfRule>
    <cfRule type="expression" dxfId="2" priority="4">
      <formula>+AND(Y49&lt;&gt;0%,Z49=0%)</formula>
    </cfRule>
    <cfRule type="expression" dxfId="1" priority="5">
      <formula>AA49&gt;=90%</formula>
    </cfRule>
  </conditionalFormatting>
  <conditionalFormatting sqref="AC49">
    <cfRule type="expression" dxfId="0" priority="1">
      <formula>+AND(AA49&gt;0%,AA49&lt;=69.9999999999999%,Y49&lt;&gt;0%)</formula>
    </cfRule>
  </conditionalFormatting>
  <printOptions horizontalCentered="1"/>
  <pageMargins left="0.25" right="0.25" top="0.75" bottom="0.75" header="0.3" footer="0.3"/>
  <pageSetup paperSize="8" scale="10" orientation="landscape" horizontalDpi="4294967293"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46ED0-7F7F-434C-8516-1D3415919C42}">
  <dimension ref="B4:R41"/>
  <sheetViews>
    <sheetView topLeftCell="H12" workbookViewId="0">
      <selection activeCell="B18" sqref="B18"/>
    </sheetView>
  </sheetViews>
  <sheetFormatPr baseColWidth="10" defaultColWidth="11.42578125" defaultRowHeight="15" x14ac:dyDescent="0.25"/>
  <cols>
    <col min="2" max="2" width="43.42578125" customWidth="1"/>
    <col min="7" max="7" width="13" bestFit="1" customWidth="1"/>
    <col min="8" max="8" width="11.7109375" customWidth="1"/>
    <col min="9" max="9" width="12" customWidth="1"/>
    <col min="12" max="12" width="45.140625" customWidth="1"/>
    <col min="13" max="17" width="19.140625" customWidth="1"/>
    <col min="18" max="18" width="57.5703125" customWidth="1"/>
  </cols>
  <sheetData>
    <row r="4" spans="2:18" ht="21.75" thickBot="1" x14ac:dyDescent="0.4">
      <c r="L4" s="39" t="s">
        <v>233</v>
      </c>
    </row>
    <row r="5" spans="2:18" ht="48.75" thickBot="1" x14ac:dyDescent="0.3">
      <c r="B5" s="40" t="s">
        <v>12</v>
      </c>
      <c r="C5" s="41" t="s">
        <v>210</v>
      </c>
      <c r="D5" s="41" t="s">
        <v>211</v>
      </c>
      <c r="E5" s="41" t="s">
        <v>95</v>
      </c>
      <c r="F5" s="41" t="s">
        <v>212</v>
      </c>
      <c r="G5" s="41" t="s">
        <v>213</v>
      </c>
      <c r="H5" s="41" t="s">
        <v>214</v>
      </c>
      <c r="L5" s="42" t="s">
        <v>218</v>
      </c>
      <c r="M5" s="42" t="s">
        <v>219</v>
      </c>
      <c r="N5" s="42" t="s">
        <v>95</v>
      </c>
      <c r="O5" s="42" t="s">
        <v>96</v>
      </c>
      <c r="P5" s="42" t="s">
        <v>213</v>
      </c>
      <c r="Q5" s="42" t="s">
        <v>214</v>
      </c>
      <c r="R5" s="42" t="s">
        <v>220</v>
      </c>
    </row>
    <row r="6" spans="2:18" ht="145.5" thickTop="1" thickBot="1" x14ac:dyDescent="0.3">
      <c r="B6" s="43" t="s">
        <v>234</v>
      </c>
      <c r="C6" s="44" t="s">
        <v>235</v>
      </c>
      <c r="D6" s="44" t="s">
        <v>236</v>
      </c>
      <c r="E6" s="44" t="s">
        <v>237</v>
      </c>
      <c r="F6" s="44" t="s">
        <v>238</v>
      </c>
      <c r="G6" s="45">
        <v>0.4</v>
      </c>
      <c r="H6" s="45">
        <v>0.12</v>
      </c>
      <c r="L6" s="46" t="s">
        <v>239</v>
      </c>
      <c r="M6" s="47">
        <v>6.8</v>
      </c>
      <c r="N6" s="47">
        <v>0</v>
      </c>
      <c r="O6" s="47">
        <v>0</v>
      </c>
      <c r="P6" s="48">
        <v>0</v>
      </c>
      <c r="Q6" s="48">
        <v>0</v>
      </c>
      <c r="R6" s="49" t="s">
        <v>240</v>
      </c>
    </row>
    <row r="7" spans="2:18" ht="72.75" thickBot="1" x14ac:dyDescent="0.3">
      <c r="B7" s="50" t="s">
        <v>241</v>
      </c>
      <c r="C7" s="51">
        <v>12</v>
      </c>
      <c r="D7" s="51">
        <v>4</v>
      </c>
      <c r="E7" s="51">
        <v>1</v>
      </c>
      <c r="F7" s="51">
        <v>1</v>
      </c>
      <c r="G7" s="52">
        <f>+F7/E7</f>
        <v>1</v>
      </c>
      <c r="H7" s="52">
        <f>+F7/D7</f>
        <v>0.25</v>
      </c>
      <c r="L7" s="53" t="s">
        <v>242</v>
      </c>
      <c r="M7" s="54">
        <v>3</v>
      </c>
      <c r="N7" s="54">
        <v>0</v>
      </c>
      <c r="O7" s="54">
        <v>0</v>
      </c>
      <c r="P7" s="55">
        <v>0</v>
      </c>
      <c r="Q7" s="55">
        <v>0</v>
      </c>
      <c r="R7" s="56" t="s">
        <v>243</v>
      </c>
    </row>
    <row r="8" spans="2:18" ht="180.75" thickBot="1" x14ac:dyDescent="0.3">
      <c r="B8" s="57" t="s">
        <v>244</v>
      </c>
      <c r="C8" s="58">
        <v>19</v>
      </c>
      <c r="D8" s="58">
        <v>6</v>
      </c>
      <c r="E8" s="58">
        <v>0</v>
      </c>
      <c r="F8" s="58">
        <v>0</v>
      </c>
      <c r="G8" s="58">
        <v>0</v>
      </c>
      <c r="H8" s="58">
        <v>0</v>
      </c>
      <c r="L8" s="59" t="s">
        <v>245</v>
      </c>
      <c r="M8" s="60">
        <v>32.96</v>
      </c>
      <c r="N8" s="60">
        <v>12.9</v>
      </c>
      <c r="O8" s="60">
        <v>5.2</v>
      </c>
      <c r="P8" s="61">
        <f>+O8/N8</f>
        <v>0.40310077519379844</v>
      </c>
      <c r="Q8" s="61">
        <f>+O8/M8</f>
        <v>0.15776699029126215</v>
      </c>
      <c r="R8" s="62" t="s">
        <v>246</v>
      </c>
    </row>
    <row r="9" spans="2:18" ht="29.25" thickBot="1" x14ac:dyDescent="0.3">
      <c r="B9" s="50" t="s">
        <v>247</v>
      </c>
      <c r="C9" s="51">
        <v>1</v>
      </c>
      <c r="D9" s="51">
        <v>1</v>
      </c>
      <c r="E9" s="51">
        <v>0</v>
      </c>
      <c r="F9" s="51">
        <v>0</v>
      </c>
      <c r="G9" s="51">
        <v>0</v>
      </c>
      <c r="H9" s="51">
        <v>0</v>
      </c>
    </row>
    <row r="10" spans="2:18" ht="57.75" thickBot="1" x14ac:dyDescent="0.3">
      <c r="B10" s="57" t="s">
        <v>248</v>
      </c>
      <c r="C10" s="58">
        <v>8</v>
      </c>
      <c r="D10" s="58">
        <v>1</v>
      </c>
      <c r="E10" s="58">
        <v>0</v>
      </c>
      <c r="F10" s="58">
        <v>0</v>
      </c>
      <c r="G10" s="58">
        <v>0</v>
      </c>
      <c r="H10" s="58">
        <v>0</v>
      </c>
    </row>
    <row r="11" spans="2:18" ht="43.5" thickBot="1" x14ac:dyDescent="0.3">
      <c r="B11" s="50" t="s">
        <v>217</v>
      </c>
      <c r="C11" s="51">
        <v>533.98</v>
      </c>
      <c r="D11" s="51">
        <v>77.959999999999994</v>
      </c>
      <c r="E11" s="51">
        <v>20.59</v>
      </c>
      <c r="F11" s="51">
        <v>35.07</v>
      </c>
      <c r="G11" s="63">
        <f t="shared" ref="G11" si="0">IF(E11=0,0,IF((F11/E11)&gt;=1.2,1.2,(F11/E11)))</f>
        <v>1.2</v>
      </c>
      <c r="H11" s="64">
        <f>+F11/D11</f>
        <v>0.44984607491021039</v>
      </c>
    </row>
    <row r="12" spans="2:18" ht="48.75" customHeight="1" thickBot="1" x14ac:dyDescent="0.3">
      <c r="B12" s="57" t="s">
        <v>249</v>
      </c>
      <c r="C12" s="58">
        <v>783.72</v>
      </c>
      <c r="D12" s="58">
        <v>366.7</v>
      </c>
      <c r="E12" s="58">
        <v>131.74</v>
      </c>
      <c r="F12" s="58">
        <v>116.57</v>
      </c>
      <c r="G12" s="65">
        <f>+F12/E12</f>
        <v>0.88484894489145272</v>
      </c>
      <c r="H12" s="65">
        <f>+F12/D12</f>
        <v>0.31788928279247342</v>
      </c>
    </row>
    <row r="13" spans="2:18" ht="15.75" thickBot="1" x14ac:dyDescent="0.3">
      <c r="L13" s="66" t="s">
        <v>217</v>
      </c>
    </row>
    <row r="14" spans="2:18" ht="48.75" thickBot="1" x14ac:dyDescent="0.3">
      <c r="L14" s="42" t="s">
        <v>218</v>
      </c>
      <c r="M14" s="42" t="s">
        <v>219</v>
      </c>
      <c r="N14" s="42" t="s">
        <v>95</v>
      </c>
      <c r="O14" s="42" t="s">
        <v>96</v>
      </c>
      <c r="P14" s="42" t="s">
        <v>213</v>
      </c>
      <c r="Q14" s="42" t="s">
        <v>214</v>
      </c>
      <c r="R14" s="42" t="s">
        <v>220</v>
      </c>
    </row>
    <row r="15" spans="2:18" ht="171" customHeight="1" thickTop="1" thickBot="1" x14ac:dyDescent="0.3">
      <c r="L15" s="67" t="s">
        <v>250</v>
      </c>
      <c r="M15" s="47">
        <v>20</v>
      </c>
      <c r="N15" s="47">
        <v>2</v>
      </c>
      <c r="O15" s="47">
        <v>0.5</v>
      </c>
      <c r="P15" s="48">
        <f>+O15/N15</f>
        <v>0.25</v>
      </c>
      <c r="Q15" s="48">
        <f>+O15/M15</f>
        <v>2.5000000000000001E-2</v>
      </c>
      <c r="R15" s="49" t="s">
        <v>251</v>
      </c>
    </row>
    <row r="16" spans="2:18" ht="54.75" thickBot="1" x14ac:dyDescent="0.3">
      <c r="L16" s="68" t="s">
        <v>252</v>
      </c>
      <c r="M16" s="54">
        <v>2.5</v>
      </c>
      <c r="N16" s="54">
        <v>2.5</v>
      </c>
      <c r="O16" s="54">
        <v>1.95</v>
      </c>
      <c r="P16" s="55">
        <f>+O16/N16</f>
        <v>0.78</v>
      </c>
      <c r="Q16" s="55">
        <f t="shared" ref="Q16:Q25" si="1">+O16/M16</f>
        <v>0.78</v>
      </c>
      <c r="R16" s="56" t="s">
        <v>253</v>
      </c>
    </row>
    <row r="17" spans="12:18" ht="66.75" customHeight="1" thickBot="1" x14ac:dyDescent="0.3">
      <c r="L17" s="69" t="s">
        <v>254</v>
      </c>
      <c r="M17" s="60">
        <v>2.5299999999999998</v>
      </c>
      <c r="N17" s="60">
        <v>0</v>
      </c>
      <c r="O17" s="60">
        <v>0</v>
      </c>
      <c r="P17" s="61">
        <v>0</v>
      </c>
      <c r="Q17" s="61">
        <f t="shared" si="1"/>
        <v>0</v>
      </c>
      <c r="R17" s="62" t="s">
        <v>255</v>
      </c>
    </row>
    <row r="18" spans="12:18" ht="38.25" customHeight="1" thickBot="1" x14ac:dyDescent="0.3">
      <c r="L18" s="68" t="s">
        <v>256</v>
      </c>
      <c r="M18" s="54">
        <v>11.9</v>
      </c>
      <c r="N18" s="54">
        <v>11.9</v>
      </c>
      <c r="O18" s="54">
        <v>11.9</v>
      </c>
      <c r="P18" s="55">
        <f>+O18/N18</f>
        <v>1</v>
      </c>
      <c r="Q18" s="55">
        <f t="shared" si="1"/>
        <v>1</v>
      </c>
      <c r="R18" s="56" t="s">
        <v>257</v>
      </c>
    </row>
    <row r="19" spans="12:18" ht="51" customHeight="1" thickBot="1" x14ac:dyDescent="0.3">
      <c r="L19" s="42" t="s">
        <v>218</v>
      </c>
      <c r="M19" s="42" t="s">
        <v>219</v>
      </c>
      <c r="N19" s="42" t="s">
        <v>95</v>
      </c>
      <c r="O19" s="42" t="s">
        <v>96</v>
      </c>
      <c r="P19" s="42" t="s">
        <v>213</v>
      </c>
      <c r="Q19" s="42" t="s">
        <v>214</v>
      </c>
      <c r="R19" s="42" t="s">
        <v>220</v>
      </c>
    </row>
    <row r="20" spans="12:18" ht="246.75" customHeight="1" thickTop="1" thickBot="1" x14ac:dyDescent="0.3">
      <c r="L20" s="69" t="s">
        <v>258</v>
      </c>
      <c r="M20" s="60">
        <v>9.43</v>
      </c>
      <c r="N20" s="60">
        <v>2</v>
      </c>
      <c r="O20" s="60">
        <v>0.5</v>
      </c>
      <c r="P20" s="61">
        <f>+O20/N20</f>
        <v>0.25</v>
      </c>
      <c r="Q20" s="61">
        <f t="shared" si="1"/>
        <v>5.3022269353128315E-2</v>
      </c>
      <c r="R20" s="62" t="s">
        <v>259</v>
      </c>
    </row>
    <row r="21" spans="12:18" ht="71.25" customHeight="1" thickBot="1" x14ac:dyDescent="0.3">
      <c r="L21" s="68" t="s">
        <v>260</v>
      </c>
      <c r="M21" s="54">
        <v>0.6</v>
      </c>
      <c r="N21" s="54">
        <v>0.6</v>
      </c>
      <c r="O21" s="54">
        <v>0.6</v>
      </c>
      <c r="P21" s="55">
        <f t="shared" ref="P21" si="2">+O21/N21</f>
        <v>1</v>
      </c>
      <c r="Q21" s="55">
        <f t="shared" si="1"/>
        <v>1</v>
      </c>
      <c r="R21" s="56" t="s">
        <v>261</v>
      </c>
    </row>
    <row r="22" spans="12:18" ht="72.75" thickBot="1" x14ac:dyDescent="0.3">
      <c r="L22" s="69" t="s">
        <v>262</v>
      </c>
      <c r="M22" s="60">
        <v>4</v>
      </c>
      <c r="N22" s="60">
        <v>0</v>
      </c>
      <c r="O22" s="60">
        <v>2.62</v>
      </c>
      <c r="P22" s="61">
        <v>1.2</v>
      </c>
      <c r="Q22" s="61">
        <f t="shared" si="1"/>
        <v>0.65500000000000003</v>
      </c>
      <c r="R22" s="70" t="s">
        <v>263</v>
      </c>
    </row>
    <row r="23" spans="12:18" ht="51" customHeight="1" thickBot="1" x14ac:dyDescent="0.3">
      <c r="L23" s="42" t="s">
        <v>218</v>
      </c>
      <c r="M23" s="42" t="s">
        <v>219</v>
      </c>
      <c r="N23" s="42" t="s">
        <v>95</v>
      </c>
      <c r="O23" s="42" t="s">
        <v>96</v>
      </c>
      <c r="P23" s="42" t="s">
        <v>213</v>
      </c>
      <c r="Q23" s="42" t="s">
        <v>214</v>
      </c>
      <c r="R23" s="42" t="s">
        <v>220</v>
      </c>
    </row>
    <row r="24" spans="12:18" ht="91.5" thickTop="1" thickBot="1" x14ac:dyDescent="0.3">
      <c r="L24" s="68" t="s">
        <v>264</v>
      </c>
      <c r="M24" s="54">
        <v>17</v>
      </c>
      <c r="N24" s="54">
        <v>0</v>
      </c>
      <c r="O24" s="54">
        <v>17</v>
      </c>
      <c r="P24" s="55">
        <v>1.2</v>
      </c>
      <c r="Q24" s="55">
        <f t="shared" si="1"/>
        <v>1</v>
      </c>
      <c r="R24" s="56" t="s">
        <v>265</v>
      </c>
    </row>
    <row r="25" spans="12:18" ht="162.75" thickBot="1" x14ac:dyDescent="0.3">
      <c r="L25" s="69" t="s">
        <v>266</v>
      </c>
      <c r="M25" s="60">
        <v>10</v>
      </c>
      <c r="N25" s="60">
        <v>0</v>
      </c>
      <c r="O25" s="60">
        <v>0</v>
      </c>
      <c r="P25" s="61">
        <v>0</v>
      </c>
      <c r="Q25" s="61">
        <f t="shared" si="1"/>
        <v>0</v>
      </c>
      <c r="R25" s="62" t="s">
        <v>267</v>
      </c>
    </row>
    <row r="29" spans="12:18" ht="15.75" thickBot="1" x14ac:dyDescent="0.3">
      <c r="L29" s="71" t="s">
        <v>216</v>
      </c>
    </row>
    <row r="30" spans="12:18" ht="48.75" thickBot="1" x14ac:dyDescent="0.3">
      <c r="L30" s="42" t="s">
        <v>218</v>
      </c>
      <c r="M30" s="42" t="s">
        <v>219</v>
      </c>
      <c r="N30" s="42" t="s">
        <v>95</v>
      </c>
      <c r="O30" s="42" t="s">
        <v>96</v>
      </c>
      <c r="P30" s="42" t="s">
        <v>213</v>
      </c>
      <c r="Q30" s="42" t="s">
        <v>214</v>
      </c>
      <c r="R30" s="42" t="s">
        <v>220</v>
      </c>
    </row>
    <row r="31" spans="12:18" ht="64.5" customHeight="1" thickTop="1" thickBot="1" x14ac:dyDescent="0.3">
      <c r="L31" s="72" t="s">
        <v>250</v>
      </c>
      <c r="M31" s="47">
        <v>2.5299999999999998</v>
      </c>
      <c r="N31" s="47">
        <v>0</v>
      </c>
      <c r="O31" s="47">
        <v>0</v>
      </c>
      <c r="P31" s="48">
        <v>0</v>
      </c>
      <c r="Q31" s="48">
        <f>+O31/M31</f>
        <v>0</v>
      </c>
      <c r="R31" s="49" t="s">
        <v>268</v>
      </c>
    </row>
    <row r="32" spans="12:18" ht="162.75" thickBot="1" x14ac:dyDescent="0.3">
      <c r="L32" s="73" t="s">
        <v>254</v>
      </c>
      <c r="M32" s="54">
        <v>26.31</v>
      </c>
      <c r="N32" s="54">
        <v>1</v>
      </c>
      <c r="O32" s="54">
        <v>0</v>
      </c>
      <c r="P32" s="55">
        <f>+O32/N32</f>
        <v>0</v>
      </c>
      <c r="Q32" s="55">
        <f>+O32/M32</f>
        <v>0</v>
      </c>
      <c r="R32" s="56" t="s">
        <v>269</v>
      </c>
    </row>
    <row r="33" spans="12:18" ht="54.75" customHeight="1" thickBot="1" x14ac:dyDescent="0.3">
      <c r="L33" s="74" t="s">
        <v>270</v>
      </c>
      <c r="M33" s="60">
        <v>105.1</v>
      </c>
      <c r="N33" s="60">
        <v>15.7</v>
      </c>
      <c r="O33" s="60">
        <v>15.7</v>
      </c>
      <c r="P33" s="61">
        <f>+O33/N33</f>
        <v>1</v>
      </c>
      <c r="Q33" s="61">
        <f>+O33/M33</f>
        <v>0.14938154138915319</v>
      </c>
      <c r="R33" s="62" t="s">
        <v>271</v>
      </c>
    </row>
    <row r="34" spans="12:18" ht="54.75" customHeight="1" thickBot="1" x14ac:dyDescent="0.3">
      <c r="L34" s="42" t="s">
        <v>218</v>
      </c>
      <c r="M34" s="42" t="s">
        <v>219</v>
      </c>
      <c r="N34" s="42" t="s">
        <v>95</v>
      </c>
      <c r="O34" s="42" t="s">
        <v>96</v>
      </c>
      <c r="P34" s="42" t="s">
        <v>213</v>
      </c>
      <c r="Q34" s="42" t="s">
        <v>214</v>
      </c>
      <c r="R34" s="42" t="s">
        <v>220</v>
      </c>
    </row>
    <row r="35" spans="12:18" ht="55.5" thickTop="1" thickBot="1" x14ac:dyDescent="0.3">
      <c r="L35" s="73" t="s">
        <v>272</v>
      </c>
      <c r="M35" s="54">
        <v>65</v>
      </c>
      <c r="N35" s="54">
        <v>0</v>
      </c>
      <c r="O35" s="54">
        <v>0</v>
      </c>
      <c r="P35" s="55">
        <v>0</v>
      </c>
      <c r="Q35" s="55">
        <f>+O35/M35</f>
        <v>0</v>
      </c>
      <c r="R35" s="56" t="s">
        <v>271</v>
      </c>
    </row>
    <row r="36" spans="12:18" ht="108.75" thickBot="1" x14ac:dyDescent="0.3">
      <c r="L36" s="74" t="s">
        <v>260</v>
      </c>
      <c r="M36" s="60">
        <v>22</v>
      </c>
      <c r="N36" s="60">
        <v>17</v>
      </c>
      <c r="O36" s="60">
        <v>14</v>
      </c>
      <c r="P36" s="61">
        <f>+O36/N36</f>
        <v>0.82352941176470584</v>
      </c>
      <c r="Q36" s="61">
        <f>+O36/M36</f>
        <v>0.63636363636363635</v>
      </c>
      <c r="R36" s="62" t="s">
        <v>273</v>
      </c>
    </row>
    <row r="37" spans="12:18" ht="72.75" thickBot="1" x14ac:dyDescent="0.3">
      <c r="L37" s="73" t="s">
        <v>274</v>
      </c>
      <c r="M37" s="54">
        <v>20</v>
      </c>
      <c r="N37" s="54">
        <v>0</v>
      </c>
      <c r="O37" s="54">
        <v>2</v>
      </c>
      <c r="P37" s="55">
        <v>1.2</v>
      </c>
      <c r="Q37" s="55">
        <f>+O37/M37</f>
        <v>0.1</v>
      </c>
      <c r="R37" s="56" t="s">
        <v>263</v>
      </c>
    </row>
    <row r="38" spans="12:18" ht="48.75" thickBot="1" x14ac:dyDescent="0.3">
      <c r="L38" s="42" t="s">
        <v>218</v>
      </c>
      <c r="M38" s="42" t="s">
        <v>219</v>
      </c>
      <c r="N38" s="42" t="s">
        <v>95</v>
      </c>
      <c r="O38" s="42" t="s">
        <v>96</v>
      </c>
      <c r="P38" s="42" t="s">
        <v>213</v>
      </c>
      <c r="Q38" s="42" t="s">
        <v>214</v>
      </c>
      <c r="R38" s="42" t="s">
        <v>220</v>
      </c>
    </row>
    <row r="39" spans="12:18" ht="109.5" thickTop="1" thickBot="1" x14ac:dyDescent="0.3">
      <c r="L39" s="74" t="s">
        <v>275</v>
      </c>
      <c r="M39" s="60">
        <v>46.2</v>
      </c>
      <c r="N39" s="60">
        <v>8.1999999999999993</v>
      </c>
      <c r="O39" s="60">
        <v>7.3</v>
      </c>
      <c r="P39" s="61">
        <f>+O39/N39</f>
        <v>0.8902439024390244</v>
      </c>
      <c r="Q39" s="61">
        <f>+O39/M39</f>
        <v>0.15800865800865799</v>
      </c>
      <c r="R39" s="62" t="s">
        <v>276</v>
      </c>
    </row>
    <row r="40" spans="12:18" ht="54.75" thickBot="1" x14ac:dyDescent="0.3">
      <c r="L40" s="73" t="s">
        <v>277</v>
      </c>
      <c r="M40" s="54">
        <v>77.599999999999994</v>
      </c>
      <c r="N40" s="54">
        <v>74</v>
      </c>
      <c r="O40" s="54">
        <v>75.8</v>
      </c>
      <c r="P40" s="55">
        <f>+O40/N40</f>
        <v>1.0243243243243243</v>
      </c>
      <c r="Q40" s="55">
        <f>+O40/M40</f>
        <v>0.97680412371134029</v>
      </c>
      <c r="R40" s="56" t="s">
        <v>271</v>
      </c>
    </row>
    <row r="41" spans="12:18" ht="54.75" thickBot="1" x14ac:dyDescent="0.3">
      <c r="L41" s="74" t="s">
        <v>278</v>
      </c>
      <c r="M41" s="60">
        <v>1.99</v>
      </c>
      <c r="N41" s="60">
        <v>0.68</v>
      </c>
      <c r="O41" s="60">
        <v>0.77</v>
      </c>
      <c r="P41" s="61">
        <f>+O41/N41</f>
        <v>1.1323529411764706</v>
      </c>
      <c r="Q41" s="61">
        <f>+O41/M41</f>
        <v>0.38693467336683418</v>
      </c>
      <c r="R41" s="62" t="s">
        <v>271</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E7E51-1FFB-4F6B-A1C4-B230E1124D8B}">
  <dimension ref="A1:F26"/>
  <sheetViews>
    <sheetView showGridLines="0" workbookViewId="0">
      <selection activeCell="B18" sqref="B18"/>
    </sheetView>
  </sheetViews>
  <sheetFormatPr baseColWidth="10" defaultColWidth="11.42578125" defaultRowHeight="15" x14ac:dyDescent="0.25"/>
  <sheetData>
    <row r="1" spans="1:6" ht="15.75" thickBot="1" x14ac:dyDescent="0.3">
      <c r="A1" s="76" t="s">
        <v>279</v>
      </c>
      <c r="B1" s="78" t="s">
        <v>31</v>
      </c>
      <c r="C1" s="76" t="s">
        <v>280</v>
      </c>
      <c r="D1" s="78" t="s">
        <v>31</v>
      </c>
      <c r="E1" s="76" t="s">
        <v>12</v>
      </c>
      <c r="F1" s="78" t="s">
        <v>31</v>
      </c>
    </row>
    <row r="2" spans="1:6" ht="15.75" thickBot="1" x14ac:dyDescent="0.3">
      <c r="A2" s="338">
        <v>1</v>
      </c>
      <c r="B2" s="337">
        <v>20</v>
      </c>
      <c r="C2" s="338" t="s">
        <v>281</v>
      </c>
      <c r="D2" s="337">
        <v>49</v>
      </c>
      <c r="E2" s="77" t="s">
        <v>282</v>
      </c>
      <c r="F2" s="79">
        <v>30</v>
      </c>
    </row>
    <row r="3" spans="1:6" ht="15.75" thickBot="1" x14ac:dyDescent="0.3">
      <c r="A3" s="338"/>
      <c r="B3" s="337"/>
      <c r="C3" s="338"/>
      <c r="D3" s="337"/>
      <c r="E3" s="77" t="s">
        <v>283</v>
      </c>
      <c r="F3" s="79">
        <v>14</v>
      </c>
    </row>
    <row r="4" spans="1:6" ht="15.75" thickBot="1" x14ac:dyDescent="0.3">
      <c r="A4" s="338"/>
      <c r="B4" s="337"/>
      <c r="C4" s="338"/>
      <c r="D4" s="337"/>
      <c r="E4" s="77" t="s">
        <v>284</v>
      </c>
      <c r="F4" s="79">
        <v>20</v>
      </c>
    </row>
    <row r="5" spans="1:6" ht="15.75" thickBot="1" x14ac:dyDescent="0.3">
      <c r="A5" s="338"/>
      <c r="B5" s="337"/>
      <c r="C5" s="338"/>
      <c r="D5" s="337"/>
      <c r="E5" s="77" t="s">
        <v>285</v>
      </c>
      <c r="F5" s="79">
        <v>5</v>
      </c>
    </row>
    <row r="6" spans="1:6" ht="15.75" thickBot="1" x14ac:dyDescent="0.3">
      <c r="A6" s="338"/>
      <c r="B6" s="337"/>
      <c r="C6" s="338"/>
      <c r="D6" s="337"/>
      <c r="E6" s="77" t="s">
        <v>286</v>
      </c>
      <c r="F6" s="79">
        <v>16</v>
      </c>
    </row>
    <row r="7" spans="1:6" ht="15.75" thickBot="1" x14ac:dyDescent="0.3">
      <c r="A7" s="338"/>
      <c r="B7" s="337"/>
      <c r="C7" s="338"/>
      <c r="D7" s="337"/>
      <c r="E7" s="77" t="s">
        <v>287</v>
      </c>
      <c r="F7" s="79">
        <v>15</v>
      </c>
    </row>
    <row r="8" spans="1:6" ht="15.75" thickBot="1" x14ac:dyDescent="0.3">
      <c r="A8" s="338"/>
      <c r="B8" s="337"/>
      <c r="C8" s="338" t="s">
        <v>288</v>
      </c>
      <c r="D8" s="337">
        <v>51</v>
      </c>
      <c r="E8" s="77" t="s">
        <v>289</v>
      </c>
      <c r="F8" s="79">
        <v>41</v>
      </c>
    </row>
    <row r="9" spans="1:6" ht="15.75" thickBot="1" x14ac:dyDescent="0.3">
      <c r="A9" s="338"/>
      <c r="B9" s="337"/>
      <c r="C9" s="338"/>
      <c r="D9" s="337"/>
      <c r="E9" s="77" t="s">
        <v>290</v>
      </c>
      <c r="F9" s="79">
        <v>25</v>
      </c>
    </row>
    <row r="10" spans="1:6" ht="15.75" thickBot="1" x14ac:dyDescent="0.3">
      <c r="A10" s="338"/>
      <c r="B10" s="337"/>
      <c r="C10" s="338"/>
      <c r="D10" s="337"/>
      <c r="E10" s="77" t="s">
        <v>291</v>
      </c>
      <c r="F10" s="79">
        <v>34</v>
      </c>
    </row>
    <row r="11" spans="1:6" ht="15.75" thickBot="1" x14ac:dyDescent="0.3">
      <c r="A11" s="338">
        <v>2</v>
      </c>
      <c r="B11" s="337">
        <v>40</v>
      </c>
      <c r="C11" s="338" t="s">
        <v>292</v>
      </c>
      <c r="D11" s="337">
        <v>48</v>
      </c>
      <c r="E11" s="77" t="s">
        <v>293</v>
      </c>
      <c r="F11" s="79">
        <v>26</v>
      </c>
    </row>
    <row r="12" spans="1:6" ht="15.75" thickBot="1" x14ac:dyDescent="0.3">
      <c r="A12" s="338"/>
      <c r="B12" s="337"/>
      <c r="C12" s="338"/>
      <c r="D12" s="337"/>
      <c r="E12" s="77" t="s">
        <v>294</v>
      </c>
      <c r="F12" s="79">
        <v>20</v>
      </c>
    </row>
    <row r="13" spans="1:6" ht="15.75" thickBot="1" x14ac:dyDescent="0.3">
      <c r="A13" s="338"/>
      <c r="B13" s="337"/>
      <c r="C13" s="338"/>
      <c r="D13" s="337"/>
      <c r="E13" s="77" t="s">
        <v>295</v>
      </c>
      <c r="F13" s="79">
        <v>16</v>
      </c>
    </row>
    <row r="14" spans="1:6" ht="15.75" thickBot="1" x14ac:dyDescent="0.3">
      <c r="A14" s="338"/>
      <c r="B14" s="337"/>
      <c r="C14" s="338"/>
      <c r="D14" s="337"/>
      <c r="E14" s="77" t="s">
        <v>296</v>
      </c>
      <c r="F14" s="79">
        <v>20</v>
      </c>
    </row>
    <row r="15" spans="1:6" ht="15.75" thickBot="1" x14ac:dyDescent="0.3">
      <c r="A15" s="338"/>
      <c r="B15" s="337"/>
      <c r="C15" s="338"/>
      <c r="D15" s="337"/>
      <c r="E15" s="77" t="s">
        <v>297</v>
      </c>
      <c r="F15" s="79">
        <v>9</v>
      </c>
    </row>
    <row r="16" spans="1:6" ht="15.75" thickBot="1" x14ac:dyDescent="0.3">
      <c r="A16" s="338"/>
      <c r="B16" s="337"/>
      <c r="C16" s="338"/>
      <c r="D16" s="337"/>
      <c r="E16" s="77" t="s">
        <v>298</v>
      </c>
      <c r="F16" s="79">
        <v>9</v>
      </c>
    </row>
    <row r="17" spans="1:6" ht="15.75" thickBot="1" x14ac:dyDescent="0.3">
      <c r="A17" s="338"/>
      <c r="B17" s="337"/>
      <c r="C17" s="338" t="s">
        <v>299</v>
      </c>
      <c r="D17" s="337">
        <v>52</v>
      </c>
      <c r="E17" s="77" t="s">
        <v>300</v>
      </c>
      <c r="F17" s="79">
        <v>30</v>
      </c>
    </row>
    <row r="18" spans="1:6" ht="15.75" thickBot="1" x14ac:dyDescent="0.3">
      <c r="A18" s="338"/>
      <c r="B18" s="337"/>
      <c r="C18" s="338"/>
      <c r="D18" s="337"/>
      <c r="E18" s="77" t="s">
        <v>301</v>
      </c>
      <c r="F18" s="79">
        <v>20</v>
      </c>
    </row>
    <row r="19" spans="1:6" ht="15.75" thickBot="1" x14ac:dyDescent="0.3">
      <c r="A19" s="338"/>
      <c r="B19" s="337"/>
      <c r="C19" s="338"/>
      <c r="D19" s="337"/>
      <c r="E19" s="77" t="s">
        <v>302</v>
      </c>
      <c r="F19" s="79">
        <v>20</v>
      </c>
    </row>
    <row r="20" spans="1:6" ht="15.75" thickBot="1" x14ac:dyDescent="0.3">
      <c r="A20" s="338"/>
      <c r="B20" s="337"/>
      <c r="C20" s="338"/>
      <c r="D20" s="337"/>
      <c r="E20" s="77" t="s">
        <v>303</v>
      </c>
      <c r="F20" s="79">
        <v>16</v>
      </c>
    </row>
    <row r="21" spans="1:6" ht="15.75" thickBot="1" x14ac:dyDescent="0.3">
      <c r="A21" s="338"/>
      <c r="B21" s="337"/>
      <c r="C21" s="338"/>
      <c r="D21" s="337"/>
      <c r="E21" s="77" t="s">
        <v>304</v>
      </c>
      <c r="F21" s="79">
        <v>14</v>
      </c>
    </row>
    <row r="22" spans="1:6" ht="15.75" thickBot="1" x14ac:dyDescent="0.3">
      <c r="A22" s="338">
        <v>3</v>
      </c>
      <c r="B22" s="337">
        <v>40</v>
      </c>
      <c r="C22" s="338" t="s">
        <v>305</v>
      </c>
      <c r="D22" s="337">
        <v>100</v>
      </c>
      <c r="E22" s="77" t="s">
        <v>306</v>
      </c>
      <c r="F22" s="79">
        <v>30</v>
      </c>
    </row>
    <row r="23" spans="1:6" ht="15.75" thickBot="1" x14ac:dyDescent="0.3">
      <c r="A23" s="338"/>
      <c r="B23" s="337"/>
      <c r="C23" s="338"/>
      <c r="D23" s="337"/>
      <c r="E23" s="77" t="s">
        <v>307</v>
      </c>
      <c r="F23" s="79">
        <v>19</v>
      </c>
    </row>
    <row r="24" spans="1:6" ht="15.75" thickBot="1" x14ac:dyDescent="0.3">
      <c r="A24" s="338"/>
      <c r="B24" s="337"/>
      <c r="C24" s="338"/>
      <c r="D24" s="337"/>
      <c r="E24" s="77" t="s">
        <v>308</v>
      </c>
      <c r="F24" s="79">
        <v>19</v>
      </c>
    </row>
    <row r="25" spans="1:6" ht="15.75" thickBot="1" x14ac:dyDescent="0.3">
      <c r="A25" s="338"/>
      <c r="B25" s="337"/>
      <c r="C25" s="338"/>
      <c r="D25" s="337"/>
      <c r="E25" s="77" t="s">
        <v>309</v>
      </c>
      <c r="F25" s="79">
        <v>16</v>
      </c>
    </row>
    <row r="26" spans="1:6" ht="15.75" thickBot="1" x14ac:dyDescent="0.3">
      <c r="A26" s="338"/>
      <c r="B26" s="337"/>
      <c r="C26" s="338"/>
      <c r="D26" s="337"/>
      <c r="E26" s="77" t="s">
        <v>310</v>
      </c>
      <c r="F26" s="79">
        <v>16</v>
      </c>
    </row>
  </sheetData>
  <mergeCells count="16">
    <mergeCell ref="A2:A10"/>
    <mergeCell ref="A11:A21"/>
    <mergeCell ref="A22:A26"/>
    <mergeCell ref="B2:B10"/>
    <mergeCell ref="B11:B21"/>
    <mergeCell ref="B22:B26"/>
    <mergeCell ref="C2:C7"/>
    <mergeCell ref="C8:C10"/>
    <mergeCell ref="C11:C16"/>
    <mergeCell ref="C17:C21"/>
    <mergeCell ref="C22:C26"/>
    <mergeCell ref="D2:D7"/>
    <mergeCell ref="D8:D10"/>
    <mergeCell ref="D11:D16"/>
    <mergeCell ref="D17:D21"/>
    <mergeCell ref="D22:D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F8CB-7FEF-4D40-889B-7C9B78A09063}">
  <dimension ref="A2:N32"/>
  <sheetViews>
    <sheetView topLeftCell="B1" workbookViewId="0">
      <selection activeCell="B18" sqref="B18"/>
    </sheetView>
  </sheetViews>
  <sheetFormatPr baseColWidth="10" defaultColWidth="11.42578125" defaultRowHeight="15" x14ac:dyDescent="0.25"/>
  <cols>
    <col min="1" max="1" width="31.85546875" customWidth="1"/>
    <col min="2" max="2" width="17.42578125" customWidth="1"/>
    <col min="3" max="3" width="16.140625" customWidth="1"/>
    <col min="4" max="4" width="19" customWidth="1"/>
    <col min="5" max="5" width="16.85546875" customWidth="1"/>
    <col min="6" max="6" width="19.28515625" customWidth="1"/>
    <col min="7" max="7" width="36.42578125" customWidth="1"/>
    <col min="8" max="8" width="39.85546875" customWidth="1"/>
    <col min="9" max="9" width="17.140625" customWidth="1"/>
    <col min="10" max="10" width="14.5703125" customWidth="1"/>
    <col min="11" max="11" width="14" customWidth="1"/>
    <col min="12" max="12" width="17.7109375" customWidth="1"/>
    <col min="13" max="13" width="21.5703125" customWidth="1"/>
    <col min="14" max="14" width="25.28515625" customWidth="1"/>
  </cols>
  <sheetData>
    <row r="2" spans="1:14" ht="21.75" thickBot="1" x14ac:dyDescent="0.4">
      <c r="A2" s="39" t="s">
        <v>311</v>
      </c>
    </row>
    <row r="3" spans="1:14" ht="72.75" thickBot="1" x14ac:dyDescent="0.3">
      <c r="A3" s="42" t="s">
        <v>218</v>
      </c>
      <c r="B3" s="42" t="s">
        <v>219</v>
      </c>
      <c r="C3" s="42" t="s">
        <v>97</v>
      </c>
      <c r="D3" s="42" t="s">
        <v>98</v>
      </c>
      <c r="E3" s="42" t="s">
        <v>312</v>
      </c>
      <c r="F3" s="42" t="s">
        <v>214</v>
      </c>
      <c r="G3" s="42" t="s">
        <v>220</v>
      </c>
    </row>
    <row r="4" spans="1:14" ht="48" thickTop="1" thickBot="1" x14ac:dyDescent="0.3">
      <c r="A4" s="46" t="s">
        <v>239</v>
      </c>
      <c r="B4" s="47">
        <v>6.8</v>
      </c>
      <c r="C4" s="47">
        <v>0</v>
      </c>
      <c r="D4" s="47">
        <v>0</v>
      </c>
      <c r="E4" s="48">
        <v>0</v>
      </c>
      <c r="F4" s="48">
        <v>0</v>
      </c>
      <c r="G4" s="49"/>
    </row>
    <row r="5" spans="1:14" ht="54" customHeight="1" thickBot="1" x14ac:dyDescent="0.3">
      <c r="A5" s="53" t="s">
        <v>242</v>
      </c>
      <c r="B5" s="54">
        <v>3</v>
      </c>
      <c r="C5" s="54">
        <v>0</v>
      </c>
      <c r="D5" s="54">
        <v>0</v>
      </c>
      <c r="E5" s="55">
        <v>0</v>
      </c>
      <c r="F5" s="55">
        <v>0</v>
      </c>
      <c r="G5" s="56"/>
    </row>
    <row r="6" spans="1:14" ht="73.5" customHeight="1" thickBot="1" x14ac:dyDescent="0.3">
      <c r="A6" s="59" t="s">
        <v>245</v>
      </c>
      <c r="B6" s="60">
        <v>32.96</v>
      </c>
      <c r="C6" s="60">
        <v>12.9</v>
      </c>
      <c r="D6" s="60">
        <f>5.2+14.95</f>
        <v>20.149999999999999</v>
      </c>
      <c r="E6" s="61">
        <v>1.2</v>
      </c>
      <c r="F6" s="61">
        <f>+D6/B6</f>
        <v>0.61134708737864074</v>
      </c>
      <c r="G6" s="62"/>
    </row>
    <row r="8" spans="1:14" ht="15.75" thickBot="1" x14ac:dyDescent="0.3">
      <c r="H8" s="66" t="s">
        <v>217</v>
      </c>
    </row>
    <row r="9" spans="1:14" ht="72.75" thickBot="1" x14ac:dyDescent="0.3">
      <c r="H9" s="42" t="s">
        <v>218</v>
      </c>
      <c r="I9" s="42" t="s">
        <v>219</v>
      </c>
      <c r="J9" s="42" t="s">
        <v>97</v>
      </c>
      <c r="K9" s="42" t="s">
        <v>98</v>
      </c>
      <c r="L9" s="42" t="s">
        <v>312</v>
      </c>
      <c r="M9" s="42" t="s">
        <v>214</v>
      </c>
      <c r="N9" s="42" t="s">
        <v>220</v>
      </c>
    </row>
    <row r="10" spans="1:14" ht="24.75" thickTop="1" thickBot="1" x14ac:dyDescent="0.3">
      <c r="H10" s="67" t="s">
        <v>250</v>
      </c>
      <c r="I10" s="47">
        <v>20</v>
      </c>
      <c r="J10" s="47">
        <v>0.61</v>
      </c>
      <c r="K10" s="47">
        <v>0</v>
      </c>
      <c r="L10" s="48">
        <f>+K10/J10</f>
        <v>0</v>
      </c>
      <c r="M10" s="48">
        <f>+K10/I10</f>
        <v>0</v>
      </c>
      <c r="N10" s="49"/>
    </row>
    <row r="11" spans="1:14" ht="24" thickBot="1" x14ac:dyDescent="0.3">
      <c r="H11" s="68" t="s">
        <v>252</v>
      </c>
      <c r="I11" s="54">
        <v>2.5</v>
      </c>
      <c r="J11" s="54">
        <v>0</v>
      </c>
      <c r="K11" s="54">
        <v>0.32</v>
      </c>
      <c r="L11" s="55">
        <v>0</v>
      </c>
      <c r="M11" s="55">
        <f t="shared" ref="M11:M18" si="0">+K11/I11</f>
        <v>0.128</v>
      </c>
      <c r="N11" s="56"/>
    </row>
    <row r="12" spans="1:14" ht="47.25" thickBot="1" x14ac:dyDescent="0.3">
      <c r="H12" s="69" t="s">
        <v>254</v>
      </c>
      <c r="I12" s="60">
        <v>2.5299999999999998</v>
      </c>
      <c r="J12" s="60">
        <v>0</v>
      </c>
      <c r="K12" s="60">
        <v>0</v>
      </c>
      <c r="L12" s="61">
        <v>0</v>
      </c>
      <c r="M12" s="61">
        <f t="shared" si="0"/>
        <v>0</v>
      </c>
      <c r="N12" s="62"/>
    </row>
    <row r="13" spans="1:14" ht="24" thickBot="1" x14ac:dyDescent="0.3">
      <c r="H13" s="68" t="s">
        <v>256</v>
      </c>
      <c r="I13" s="54">
        <v>11.9</v>
      </c>
      <c r="J13" s="54">
        <v>0</v>
      </c>
      <c r="K13" s="54">
        <v>0</v>
      </c>
      <c r="L13" s="55">
        <v>0</v>
      </c>
      <c r="M13" s="55">
        <f t="shared" si="0"/>
        <v>0</v>
      </c>
      <c r="N13" s="56"/>
    </row>
    <row r="14" spans="1:14" ht="93.75" thickBot="1" x14ac:dyDescent="0.3">
      <c r="H14" s="69" t="s">
        <v>258</v>
      </c>
      <c r="I14" s="60">
        <v>9.43</v>
      </c>
      <c r="J14" s="60">
        <v>0.5</v>
      </c>
      <c r="K14" s="60">
        <v>0.32500000000000001</v>
      </c>
      <c r="L14" s="61">
        <f t="shared" ref="L14:L17" si="1">+K14/J14</f>
        <v>0.65</v>
      </c>
      <c r="M14" s="61">
        <f t="shared" si="0"/>
        <v>3.4464475079533409E-2</v>
      </c>
      <c r="N14" s="62"/>
    </row>
    <row r="15" spans="1:14" ht="24" thickBot="1" x14ac:dyDescent="0.3">
      <c r="H15" s="68" t="s">
        <v>260</v>
      </c>
      <c r="I15" s="54">
        <v>0.6</v>
      </c>
      <c r="J15" s="54">
        <v>0</v>
      </c>
      <c r="K15" s="54">
        <v>0</v>
      </c>
      <c r="L15" s="55">
        <v>0</v>
      </c>
      <c r="M15" s="55">
        <f t="shared" si="0"/>
        <v>0</v>
      </c>
      <c r="N15" s="56"/>
    </row>
    <row r="16" spans="1:14" ht="24" thickBot="1" x14ac:dyDescent="0.3">
      <c r="H16" s="69" t="s">
        <v>262</v>
      </c>
      <c r="I16" s="60">
        <v>4</v>
      </c>
      <c r="J16" s="60">
        <v>0</v>
      </c>
      <c r="K16" s="60">
        <v>0</v>
      </c>
      <c r="L16" s="61">
        <v>0</v>
      </c>
      <c r="M16" s="61">
        <f t="shared" si="0"/>
        <v>0</v>
      </c>
      <c r="N16" s="70"/>
    </row>
    <row r="17" spans="8:14" ht="24" thickBot="1" x14ac:dyDescent="0.3">
      <c r="H17" s="68" t="s">
        <v>264</v>
      </c>
      <c r="I17" s="54">
        <v>17</v>
      </c>
      <c r="J17" s="54">
        <v>17</v>
      </c>
      <c r="K17" s="54">
        <v>17</v>
      </c>
      <c r="L17" s="55">
        <f t="shared" si="1"/>
        <v>1</v>
      </c>
      <c r="M17" s="55">
        <f t="shared" si="0"/>
        <v>1</v>
      </c>
      <c r="N17" s="56"/>
    </row>
    <row r="18" spans="8:14" ht="24" thickBot="1" x14ac:dyDescent="0.3">
      <c r="H18" s="69" t="s">
        <v>266</v>
      </c>
      <c r="I18" s="60">
        <v>10</v>
      </c>
      <c r="J18" s="60">
        <v>0</v>
      </c>
      <c r="K18" s="60">
        <v>0</v>
      </c>
      <c r="L18" s="61">
        <v>0</v>
      </c>
      <c r="M18" s="61">
        <f t="shared" si="0"/>
        <v>0</v>
      </c>
      <c r="N18" s="62"/>
    </row>
    <row r="22" spans="8:14" ht="15.75" thickBot="1" x14ac:dyDescent="0.3">
      <c r="H22" s="71" t="s">
        <v>216</v>
      </c>
    </row>
    <row r="23" spans="8:14" ht="72.75" thickBot="1" x14ac:dyDescent="0.3">
      <c r="H23" s="42" t="s">
        <v>218</v>
      </c>
      <c r="I23" s="42" t="s">
        <v>219</v>
      </c>
      <c r="J23" s="42" t="s">
        <v>97</v>
      </c>
      <c r="K23" s="42" t="s">
        <v>98</v>
      </c>
      <c r="L23" s="42" t="s">
        <v>312</v>
      </c>
      <c r="M23" s="42" t="s">
        <v>214</v>
      </c>
      <c r="N23" s="42" t="s">
        <v>220</v>
      </c>
    </row>
    <row r="24" spans="8:14" ht="24.75" thickTop="1" thickBot="1" x14ac:dyDescent="0.3">
      <c r="H24" s="72" t="s">
        <v>250</v>
      </c>
      <c r="I24" s="47">
        <v>2.5299999999999998</v>
      </c>
      <c r="J24" s="47">
        <v>0</v>
      </c>
      <c r="K24" s="47">
        <v>0</v>
      </c>
      <c r="L24" s="48">
        <v>0</v>
      </c>
      <c r="M24" s="48">
        <f t="shared" ref="M24:M32" si="2">+K24/I24</f>
        <v>0</v>
      </c>
      <c r="N24" s="49"/>
    </row>
    <row r="25" spans="8:14" ht="36.75" thickBot="1" x14ac:dyDescent="0.3">
      <c r="H25" s="73" t="s">
        <v>254</v>
      </c>
      <c r="I25" s="54">
        <v>26.31</v>
      </c>
      <c r="J25" s="54">
        <v>0</v>
      </c>
      <c r="K25" s="54">
        <v>0.28999999999999998</v>
      </c>
      <c r="L25" s="55">
        <v>0</v>
      </c>
      <c r="M25" s="55">
        <f t="shared" si="2"/>
        <v>1.1022424933485367E-2</v>
      </c>
      <c r="N25" s="56"/>
    </row>
    <row r="26" spans="8:14" ht="24" thickBot="1" x14ac:dyDescent="0.3">
      <c r="H26" s="74" t="s">
        <v>270</v>
      </c>
      <c r="I26" s="60">
        <v>105.1</v>
      </c>
      <c r="J26" s="60">
        <v>0</v>
      </c>
      <c r="K26" s="60">
        <v>0</v>
      </c>
      <c r="L26" s="61">
        <v>0</v>
      </c>
      <c r="M26" s="61">
        <f t="shared" si="2"/>
        <v>0</v>
      </c>
      <c r="N26" s="62"/>
    </row>
    <row r="27" spans="8:14" ht="36.75" thickBot="1" x14ac:dyDescent="0.3">
      <c r="H27" s="73" t="s">
        <v>272</v>
      </c>
      <c r="I27" s="54">
        <v>65</v>
      </c>
      <c r="J27" s="54">
        <v>0</v>
      </c>
      <c r="K27" s="54">
        <v>0</v>
      </c>
      <c r="L27" s="55">
        <v>0</v>
      </c>
      <c r="M27" s="55">
        <f t="shared" si="2"/>
        <v>0</v>
      </c>
      <c r="N27" s="56"/>
    </row>
    <row r="28" spans="8:14" ht="24" thickBot="1" x14ac:dyDescent="0.3">
      <c r="H28" s="74" t="s">
        <v>260</v>
      </c>
      <c r="I28" s="60">
        <v>22</v>
      </c>
      <c r="J28" s="60">
        <v>5</v>
      </c>
      <c r="K28" s="60">
        <v>3</v>
      </c>
      <c r="L28" s="61">
        <f t="shared" ref="L28:L30" si="3">+K28/J28</f>
        <v>0.6</v>
      </c>
      <c r="M28" s="61">
        <f t="shared" si="2"/>
        <v>0.13636363636363635</v>
      </c>
      <c r="N28" s="62"/>
    </row>
    <row r="29" spans="8:14" ht="24" thickBot="1" x14ac:dyDescent="0.3">
      <c r="H29" s="73" t="s">
        <v>274</v>
      </c>
      <c r="I29" s="54">
        <v>20</v>
      </c>
      <c r="J29" s="54">
        <v>0</v>
      </c>
      <c r="K29" s="54">
        <v>2</v>
      </c>
      <c r="L29" s="55">
        <v>0</v>
      </c>
      <c r="M29" s="55">
        <f t="shared" si="2"/>
        <v>0.1</v>
      </c>
      <c r="N29" s="56"/>
    </row>
    <row r="30" spans="8:14" ht="24" thickBot="1" x14ac:dyDescent="0.3">
      <c r="H30" s="74" t="s">
        <v>275</v>
      </c>
      <c r="I30" s="60">
        <v>46.2</v>
      </c>
      <c r="J30" s="60">
        <v>3.6</v>
      </c>
      <c r="K30" s="60">
        <v>0.3</v>
      </c>
      <c r="L30" s="61">
        <f t="shared" si="3"/>
        <v>8.3333333333333329E-2</v>
      </c>
      <c r="M30" s="61">
        <f t="shared" si="2"/>
        <v>6.4935064935064931E-3</v>
      </c>
      <c r="N30" s="62"/>
    </row>
    <row r="31" spans="8:14" ht="24" thickBot="1" x14ac:dyDescent="0.3">
      <c r="H31" s="73" t="s">
        <v>277</v>
      </c>
      <c r="I31" s="54">
        <v>77.599999999999994</v>
      </c>
      <c r="J31" s="54">
        <v>0</v>
      </c>
      <c r="K31" s="54">
        <v>0</v>
      </c>
      <c r="L31" s="55">
        <v>0</v>
      </c>
      <c r="M31" s="55">
        <f t="shared" si="2"/>
        <v>0</v>
      </c>
      <c r="N31" s="56"/>
    </row>
    <row r="32" spans="8:14" ht="36.75" thickBot="1" x14ac:dyDescent="0.3">
      <c r="H32" s="74" t="s">
        <v>278</v>
      </c>
      <c r="I32" s="60">
        <v>1.99</v>
      </c>
      <c r="J32" s="60">
        <v>0.17</v>
      </c>
      <c r="K32" s="60">
        <v>0.62</v>
      </c>
      <c r="L32" s="61">
        <v>1.2</v>
      </c>
      <c r="M32" s="61">
        <f t="shared" si="2"/>
        <v>0.31155778894472363</v>
      </c>
      <c r="N32" s="6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D2AE7-7BF0-4C63-8755-85DF65E271AF}">
  <sheetPr>
    <tabColor rgb="FF3333CC"/>
  </sheetPr>
  <dimension ref="A1:O72"/>
  <sheetViews>
    <sheetView topLeftCell="A13" zoomScaleNormal="100" zoomScaleSheetLayoutView="85" workbookViewId="0">
      <selection activeCell="D25" sqref="D25"/>
    </sheetView>
  </sheetViews>
  <sheetFormatPr baseColWidth="10" defaultColWidth="11.42578125" defaultRowHeight="15" x14ac:dyDescent="0.25"/>
  <cols>
    <col min="2" max="2" width="35.7109375" customWidth="1"/>
    <col min="3" max="3" width="6.140625" bestFit="1" customWidth="1"/>
    <col min="4" max="4" width="13.28515625" customWidth="1"/>
    <col min="5" max="5" width="6" bestFit="1" customWidth="1"/>
    <col min="6" max="6" width="9.42578125" bestFit="1" customWidth="1"/>
    <col min="7" max="7" width="20.85546875" customWidth="1"/>
    <col min="9" max="9" width="23.85546875" customWidth="1"/>
  </cols>
  <sheetData>
    <row r="1" spans="1:15" x14ac:dyDescent="0.25">
      <c r="A1" s="17"/>
      <c r="B1" s="17"/>
      <c r="C1" s="17"/>
      <c r="D1" s="17"/>
      <c r="E1" s="17"/>
      <c r="F1" s="17"/>
      <c r="G1" s="17"/>
      <c r="H1" s="17"/>
      <c r="I1" s="17"/>
      <c r="J1" s="17"/>
      <c r="K1" s="17"/>
      <c r="L1" s="17"/>
      <c r="M1" s="17"/>
      <c r="N1" s="17"/>
      <c r="O1" s="17"/>
    </row>
    <row r="2" spans="1:15" x14ac:dyDescent="0.25">
      <c r="A2" s="17"/>
      <c r="B2" s="178"/>
      <c r="C2" s="171" t="s">
        <v>77</v>
      </c>
      <c r="D2" s="171" t="s">
        <v>78</v>
      </c>
      <c r="E2" s="17"/>
      <c r="F2" s="17"/>
      <c r="G2" s="17"/>
      <c r="H2" s="17"/>
      <c r="I2" s="17"/>
      <c r="J2" s="17"/>
      <c r="K2" s="17"/>
      <c r="L2" s="17"/>
      <c r="M2" s="17"/>
      <c r="N2" s="17"/>
      <c r="O2" s="17"/>
    </row>
    <row r="3" spans="1:15" ht="30" x14ac:dyDescent="0.25">
      <c r="A3" s="17"/>
      <c r="B3" s="171" t="s">
        <v>79</v>
      </c>
      <c r="C3" s="177">
        <v>1</v>
      </c>
      <c r="D3" s="176">
        <f>+Tablero!C25</f>
        <v>0.49653428782829384</v>
      </c>
      <c r="E3" s="17"/>
      <c r="F3" s="17"/>
      <c r="G3" s="17"/>
      <c r="H3" s="17"/>
      <c r="I3" s="17"/>
      <c r="J3" s="17"/>
      <c r="K3" s="17"/>
      <c r="L3" s="17"/>
      <c r="M3" s="17"/>
      <c r="N3" s="17"/>
      <c r="O3" s="17"/>
    </row>
    <row r="4" spans="1:15" ht="27" x14ac:dyDescent="0.25">
      <c r="A4" s="17"/>
      <c r="B4" s="171" t="s">
        <v>80</v>
      </c>
      <c r="C4" s="177">
        <v>1</v>
      </c>
      <c r="D4" s="176">
        <f>+Tablero!C24</f>
        <v>0.98082230281183214</v>
      </c>
      <c r="E4" s="17"/>
      <c r="F4" s="17"/>
      <c r="G4" s="17"/>
      <c r="H4" s="17"/>
      <c r="I4" s="17"/>
      <c r="J4" s="17"/>
      <c r="K4" s="17"/>
      <c r="L4" s="17"/>
      <c r="M4" s="17"/>
      <c r="N4" s="17"/>
      <c r="O4" s="17"/>
    </row>
    <row r="5" spans="1:15" x14ac:dyDescent="0.25">
      <c r="A5" s="17"/>
      <c r="B5" s="17"/>
      <c r="C5" s="17"/>
      <c r="D5" s="17"/>
      <c r="E5" s="17"/>
      <c r="F5" s="17"/>
      <c r="G5" s="17"/>
      <c r="H5" s="17"/>
      <c r="I5" s="17"/>
      <c r="J5" s="17"/>
      <c r="K5" s="17"/>
      <c r="L5" s="17"/>
      <c r="M5" s="17"/>
      <c r="N5" s="17"/>
      <c r="O5" s="17"/>
    </row>
    <row r="6" spans="1:15" x14ac:dyDescent="0.25">
      <c r="A6" s="17"/>
      <c r="B6" s="17"/>
      <c r="C6" s="17"/>
      <c r="D6" s="17"/>
      <c r="E6" s="17"/>
      <c r="F6" s="17"/>
      <c r="G6" s="17"/>
      <c r="H6" s="17"/>
      <c r="I6" s="17"/>
      <c r="J6" s="17"/>
      <c r="K6" s="17"/>
      <c r="L6" s="17"/>
      <c r="M6" s="17"/>
      <c r="N6" s="17"/>
      <c r="O6" s="17"/>
    </row>
    <row r="7" spans="1:15" x14ac:dyDescent="0.25">
      <c r="A7" s="17"/>
      <c r="B7" s="17"/>
      <c r="C7" s="17"/>
      <c r="D7" s="17"/>
      <c r="E7" s="17"/>
      <c r="F7" s="17"/>
      <c r="G7" s="17"/>
      <c r="H7" s="17"/>
      <c r="I7" s="17"/>
      <c r="J7" s="17"/>
      <c r="K7" s="17"/>
      <c r="L7" s="17"/>
      <c r="M7" s="17"/>
      <c r="N7" s="17"/>
      <c r="O7" s="17"/>
    </row>
    <row r="8" spans="1:15" x14ac:dyDescent="0.25">
      <c r="A8" s="17"/>
      <c r="B8" s="17"/>
      <c r="C8" s="17"/>
      <c r="D8" s="17"/>
      <c r="E8" s="17"/>
      <c r="F8" s="17"/>
      <c r="G8" s="17"/>
      <c r="H8" s="17"/>
      <c r="I8" s="17"/>
      <c r="J8" s="17"/>
      <c r="K8" s="17"/>
      <c r="L8" s="17"/>
      <c r="M8" s="17"/>
      <c r="N8" s="17"/>
      <c r="O8" s="17"/>
    </row>
    <row r="9" spans="1:15" x14ac:dyDescent="0.25">
      <c r="A9" s="17"/>
      <c r="B9" s="17"/>
      <c r="C9" s="17"/>
      <c r="D9" s="17"/>
      <c r="E9" s="17"/>
      <c r="F9" s="17"/>
      <c r="G9" s="17"/>
      <c r="H9" s="17"/>
      <c r="I9" s="17"/>
      <c r="J9" s="17"/>
      <c r="K9" s="17"/>
      <c r="L9" s="17"/>
      <c r="M9" s="17"/>
      <c r="N9" s="17"/>
      <c r="O9" s="17"/>
    </row>
    <row r="10" spans="1:15" x14ac:dyDescent="0.25">
      <c r="A10" s="17"/>
      <c r="B10" s="17"/>
      <c r="C10" s="17"/>
      <c r="D10" s="17"/>
      <c r="E10" s="17"/>
      <c r="F10" s="17"/>
      <c r="G10" s="17"/>
      <c r="H10" s="17"/>
      <c r="I10" s="17"/>
      <c r="J10" s="17"/>
      <c r="K10" s="17"/>
      <c r="L10" s="17"/>
      <c r="M10" s="17"/>
      <c r="N10" s="17"/>
      <c r="O10" s="17"/>
    </row>
    <row r="11" spans="1:15" x14ac:dyDescent="0.25">
      <c r="A11" s="17"/>
      <c r="B11" s="17"/>
      <c r="C11" s="17"/>
      <c r="D11" s="17"/>
      <c r="E11" s="17"/>
      <c r="F11" s="17"/>
      <c r="G11" s="17"/>
      <c r="H11" s="17"/>
      <c r="I11" s="17"/>
      <c r="J11" s="17"/>
      <c r="K11" s="17"/>
      <c r="L11" s="17"/>
      <c r="M11" s="17"/>
      <c r="N11" s="17"/>
      <c r="O11" s="17"/>
    </row>
    <row r="12" spans="1:15" x14ac:dyDescent="0.25">
      <c r="A12" s="17"/>
      <c r="B12" s="17"/>
      <c r="C12" s="17"/>
      <c r="D12" s="17"/>
      <c r="E12" s="17"/>
      <c r="F12" s="17"/>
      <c r="G12" s="17"/>
      <c r="H12" s="17"/>
      <c r="I12" s="17"/>
      <c r="J12" s="17"/>
      <c r="K12" s="17"/>
      <c r="L12" s="17"/>
      <c r="M12" s="17"/>
      <c r="N12" s="17"/>
      <c r="O12" s="17"/>
    </row>
    <row r="13" spans="1:15" x14ac:dyDescent="0.25">
      <c r="A13" s="17"/>
      <c r="B13" s="17"/>
      <c r="C13" s="17"/>
      <c r="D13" s="17"/>
      <c r="E13" s="17"/>
      <c r="F13" s="17"/>
      <c r="G13" s="17"/>
      <c r="H13" s="17"/>
      <c r="I13" s="17"/>
      <c r="J13" s="17"/>
      <c r="K13" s="17"/>
      <c r="L13" s="17"/>
      <c r="M13" s="17"/>
      <c r="N13" s="17"/>
      <c r="O13" s="17"/>
    </row>
    <row r="14" spans="1:15" x14ac:dyDescent="0.25">
      <c r="A14" s="17"/>
      <c r="B14" s="17"/>
      <c r="C14" s="17"/>
      <c r="D14" s="17"/>
      <c r="E14" s="17"/>
      <c r="F14" s="17"/>
      <c r="G14" s="17"/>
      <c r="H14" s="17"/>
      <c r="I14" s="17"/>
      <c r="J14" s="17"/>
      <c r="K14" s="17"/>
      <c r="L14" s="17"/>
      <c r="M14" s="17"/>
      <c r="N14" s="17"/>
      <c r="O14" s="17"/>
    </row>
    <row r="15" spans="1:15" x14ac:dyDescent="0.25">
      <c r="A15" s="17"/>
      <c r="B15" s="17"/>
      <c r="C15" s="17"/>
      <c r="D15" s="17"/>
      <c r="E15" s="17"/>
      <c r="F15" s="17"/>
      <c r="G15" s="17"/>
      <c r="H15" s="17"/>
      <c r="I15" s="17"/>
      <c r="J15" s="17"/>
      <c r="K15" s="17"/>
      <c r="L15" s="17"/>
      <c r="M15" s="17"/>
      <c r="N15" s="17"/>
      <c r="O15" s="17"/>
    </row>
    <row r="16" spans="1:15" x14ac:dyDescent="0.25">
      <c r="A16" s="17"/>
      <c r="B16" s="17"/>
      <c r="C16" s="17"/>
      <c r="D16" s="17"/>
      <c r="E16" s="17"/>
      <c r="F16" s="17"/>
      <c r="G16" s="17"/>
      <c r="H16" s="17"/>
      <c r="I16" s="17"/>
      <c r="J16" s="17"/>
      <c r="K16" s="17"/>
      <c r="L16" s="17"/>
      <c r="M16" s="17"/>
      <c r="N16" s="17"/>
      <c r="O16" s="17"/>
    </row>
    <row r="17" spans="1:15" x14ac:dyDescent="0.25">
      <c r="A17" s="17"/>
      <c r="B17" s="17"/>
      <c r="C17" s="17"/>
      <c r="D17" s="17"/>
      <c r="E17" s="17"/>
      <c r="F17" s="17"/>
      <c r="G17" s="17"/>
      <c r="H17" s="17"/>
      <c r="I17" s="17"/>
      <c r="J17" s="17"/>
      <c r="K17" s="17"/>
      <c r="L17" s="17"/>
      <c r="M17" s="17"/>
      <c r="N17" s="17"/>
      <c r="O17" s="17"/>
    </row>
    <row r="18" spans="1:15" x14ac:dyDescent="0.25">
      <c r="A18" s="17"/>
      <c r="B18" s="17"/>
      <c r="C18" s="17"/>
      <c r="D18" s="17"/>
      <c r="E18" s="17"/>
      <c r="F18" s="17"/>
      <c r="G18" s="17"/>
      <c r="H18" s="17"/>
      <c r="I18" s="17"/>
      <c r="J18" s="17"/>
      <c r="K18" s="17"/>
      <c r="L18" s="17"/>
      <c r="M18" s="17"/>
      <c r="N18" s="17"/>
      <c r="O18" s="17"/>
    </row>
    <row r="19" spans="1:15" x14ac:dyDescent="0.25">
      <c r="A19" s="17"/>
      <c r="B19" s="17"/>
      <c r="C19" s="17"/>
      <c r="D19" s="17"/>
      <c r="E19" s="17"/>
      <c r="F19" s="17"/>
      <c r="G19" s="17"/>
      <c r="H19" s="17"/>
      <c r="I19" s="17"/>
      <c r="J19" s="17"/>
      <c r="K19" s="17"/>
      <c r="L19" s="17"/>
      <c r="M19" s="17"/>
      <c r="N19" s="17"/>
      <c r="O19" s="17"/>
    </row>
    <row r="20" spans="1:15" x14ac:dyDescent="0.25">
      <c r="A20" s="17"/>
      <c r="B20" s="17"/>
      <c r="C20" s="17"/>
      <c r="D20" s="17"/>
      <c r="E20" s="17"/>
      <c r="F20" s="17"/>
      <c r="G20" s="17"/>
      <c r="H20" s="17"/>
      <c r="I20" s="17"/>
      <c r="J20" s="17"/>
      <c r="K20" s="17"/>
      <c r="L20" s="17"/>
      <c r="M20" s="17"/>
      <c r="N20" s="17"/>
      <c r="O20" s="17"/>
    </row>
    <row r="21" spans="1:15" x14ac:dyDescent="0.25">
      <c r="A21" s="17"/>
      <c r="B21" s="17"/>
      <c r="C21" s="17"/>
      <c r="D21" s="17"/>
      <c r="E21" s="17"/>
      <c r="F21" s="17"/>
      <c r="G21" s="17"/>
      <c r="H21" s="17"/>
      <c r="I21" s="17"/>
      <c r="J21" s="17"/>
      <c r="K21" s="17"/>
      <c r="L21" s="17"/>
      <c r="M21" s="17"/>
      <c r="N21" s="17"/>
      <c r="O21" s="17"/>
    </row>
    <row r="22" spans="1:15" x14ac:dyDescent="0.25">
      <c r="A22" s="17"/>
      <c r="B22" s="17"/>
      <c r="C22" s="17"/>
      <c r="D22" s="17"/>
      <c r="E22" s="17"/>
      <c r="F22" s="17"/>
      <c r="G22" s="17"/>
      <c r="H22" s="17"/>
      <c r="I22" s="17"/>
      <c r="J22" s="17"/>
      <c r="K22" s="17"/>
      <c r="L22" s="17"/>
      <c r="M22" s="17"/>
      <c r="N22" s="17"/>
      <c r="O22" s="17"/>
    </row>
    <row r="23" spans="1:15" x14ac:dyDescent="0.25">
      <c r="A23" s="17"/>
      <c r="B23" s="17"/>
      <c r="C23" s="17"/>
      <c r="D23" s="17"/>
      <c r="E23" s="17"/>
      <c r="F23" s="17"/>
      <c r="G23" s="17"/>
      <c r="H23" s="17"/>
      <c r="I23" s="17"/>
      <c r="J23" s="17"/>
      <c r="K23" s="17"/>
      <c r="L23" s="17"/>
      <c r="M23" s="17"/>
      <c r="N23" s="17"/>
      <c r="O23" s="17"/>
    </row>
    <row r="24" spans="1:15" ht="90" x14ac:dyDescent="0.25">
      <c r="A24" s="17"/>
      <c r="B24" s="171" t="s">
        <v>81</v>
      </c>
      <c r="C24" s="171" t="s">
        <v>82</v>
      </c>
      <c r="D24" s="171" t="s">
        <v>83</v>
      </c>
      <c r="E24" s="179"/>
      <c r="F24" s="179"/>
      <c r="G24" s="17"/>
      <c r="H24" s="17"/>
      <c r="I24" s="17"/>
      <c r="J24" s="17"/>
      <c r="K24" s="17"/>
      <c r="L24" s="17"/>
      <c r="M24" s="17"/>
      <c r="N24" s="17"/>
      <c r="O24" s="17"/>
    </row>
    <row r="25" spans="1:15" ht="45" x14ac:dyDescent="0.25">
      <c r="A25" s="17"/>
      <c r="B25" s="175" t="s">
        <v>22</v>
      </c>
      <c r="C25" s="173">
        <f>+Tablero!C29</f>
        <v>0.2</v>
      </c>
      <c r="D25" s="173">
        <f>+Tablero!G29</f>
        <v>1</v>
      </c>
      <c r="E25" s="180"/>
      <c r="F25" s="181"/>
      <c r="G25" s="17"/>
      <c r="H25" s="17"/>
      <c r="I25" s="17"/>
      <c r="J25" s="17"/>
      <c r="K25" s="17"/>
      <c r="L25" s="17"/>
      <c r="M25" s="17"/>
      <c r="N25" s="17"/>
      <c r="O25" s="17"/>
    </row>
    <row r="26" spans="1:15" ht="60" x14ac:dyDescent="0.25">
      <c r="A26" s="17"/>
      <c r="B26" s="174" t="s">
        <v>46</v>
      </c>
      <c r="C26" s="173">
        <f>+Tablero!C38</f>
        <v>0.4</v>
      </c>
      <c r="D26" s="173">
        <f>+Tablero!G38</f>
        <v>0.93670975389478439</v>
      </c>
      <c r="E26" s="180"/>
      <c r="F26" s="181"/>
      <c r="G26" s="17"/>
      <c r="H26" s="17"/>
      <c r="I26" s="17"/>
      <c r="J26" s="17"/>
      <c r="K26" s="17"/>
      <c r="L26" s="17"/>
      <c r="M26" s="17"/>
      <c r="N26" s="17"/>
      <c r="O26" s="17"/>
    </row>
    <row r="27" spans="1:15" ht="30" x14ac:dyDescent="0.25">
      <c r="A27" s="17"/>
      <c r="B27" s="174" t="s">
        <v>71</v>
      </c>
      <c r="C27" s="173">
        <f>+Tablero!C48</f>
        <v>0.4</v>
      </c>
      <c r="D27" s="173">
        <f>+Tablero!G48</f>
        <v>1.0153460031347961</v>
      </c>
      <c r="E27" s="180"/>
      <c r="F27" s="181"/>
      <c r="G27" s="17"/>
      <c r="H27" s="17"/>
      <c r="I27" s="17"/>
      <c r="J27" s="17"/>
      <c r="K27" s="17"/>
      <c r="L27" s="17"/>
      <c r="M27" s="17"/>
      <c r="N27" s="17"/>
      <c r="O27" s="17"/>
    </row>
    <row r="28" spans="1:15" x14ac:dyDescent="0.25">
      <c r="A28" s="17"/>
      <c r="B28" s="17"/>
      <c r="C28" s="172">
        <f>SUM(C25:C27)</f>
        <v>1</v>
      </c>
      <c r="D28" s="182"/>
      <c r="E28" s="17"/>
      <c r="F28" s="17"/>
      <c r="G28" s="17"/>
      <c r="H28" s="17"/>
      <c r="I28" s="17"/>
      <c r="J28" s="17"/>
      <c r="K28" s="17"/>
      <c r="L28" s="17"/>
      <c r="M28" s="17"/>
      <c r="N28" s="17"/>
      <c r="O28" s="17"/>
    </row>
    <row r="29" spans="1:15" x14ac:dyDescent="0.25">
      <c r="A29" s="17"/>
      <c r="B29" s="17"/>
      <c r="C29" s="17"/>
      <c r="D29" s="17"/>
      <c r="E29" s="17"/>
      <c r="F29" s="17"/>
      <c r="G29" s="17"/>
      <c r="H29" s="17"/>
      <c r="I29" s="17"/>
      <c r="J29" s="17"/>
      <c r="K29" s="17"/>
      <c r="L29" s="17"/>
      <c r="M29" s="17"/>
      <c r="N29" s="17"/>
      <c r="O29" s="17"/>
    </row>
    <row r="30" spans="1:15" x14ac:dyDescent="0.25">
      <c r="A30" s="17"/>
      <c r="B30" s="17"/>
      <c r="C30" s="17"/>
      <c r="D30" s="17"/>
      <c r="E30" s="17"/>
      <c r="F30" s="17"/>
      <c r="G30" s="17"/>
      <c r="H30" s="17"/>
      <c r="I30" s="17"/>
      <c r="J30" s="17"/>
      <c r="K30" s="17"/>
      <c r="L30" s="17"/>
      <c r="M30" s="17"/>
      <c r="N30" s="17"/>
      <c r="O30" s="17"/>
    </row>
    <row r="31" spans="1:15" x14ac:dyDescent="0.25">
      <c r="A31" s="17"/>
      <c r="B31" s="17"/>
      <c r="C31" s="17"/>
      <c r="D31" s="17"/>
      <c r="E31" s="17"/>
      <c r="F31" s="17"/>
      <c r="G31" s="17"/>
      <c r="H31" s="17"/>
      <c r="I31" s="17"/>
      <c r="J31" s="17"/>
      <c r="K31" s="17"/>
      <c r="L31" s="17"/>
      <c r="M31" s="17"/>
      <c r="N31" s="17"/>
      <c r="O31" s="17"/>
    </row>
    <row r="32" spans="1:15" x14ac:dyDescent="0.25">
      <c r="A32" s="17"/>
      <c r="B32" s="17"/>
      <c r="C32" s="17"/>
      <c r="D32" s="17"/>
      <c r="E32" s="17"/>
      <c r="F32" s="17"/>
      <c r="G32" s="17"/>
      <c r="H32" s="17"/>
      <c r="I32" s="17"/>
      <c r="J32" s="17"/>
      <c r="K32" s="17"/>
      <c r="L32" s="17"/>
      <c r="M32" s="17"/>
      <c r="N32" s="17"/>
      <c r="O32" s="17"/>
    </row>
    <row r="33" spans="1:15" x14ac:dyDescent="0.25">
      <c r="A33" s="17"/>
      <c r="B33" s="17"/>
      <c r="C33" s="17"/>
      <c r="D33" s="17"/>
      <c r="E33" s="17"/>
      <c r="F33" s="17"/>
      <c r="G33" s="17"/>
      <c r="H33" s="17"/>
      <c r="I33" s="17"/>
      <c r="J33" s="17"/>
      <c r="K33" s="17"/>
      <c r="L33" s="17"/>
      <c r="M33" s="17"/>
      <c r="N33" s="17"/>
      <c r="O33" s="17"/>
    </row>
    <row r="34" spans="1:15" x14ac:dyDescent="0.25">
      <c r="A34" s="17"/>
      <c r="B34" s="17"/>
      <c r="C34" s="17"/>
      <c r="D34" s="17"/>
      <c r="E34" s="17"/>
      <c r="F34" s="17"/>
      <c r="G34" s="17"/>
      <c r="H34" s="17"/>
      <c r="I34" s="17"/>
      <c r="J34" s="17"/>
      <c r="K34" s="17"/>
      <c r="L34" s="17"/>
      <c r="M34" s="17"/>
      <c r="N34" s="17"/>
      <c r="O34" s="17"/>
    </row>
    <row r="35" spans="1:15" x14ac:dyDescent="0.25">
      <c r="A35" s="17"/>
      <c r="B35" s="17"/>
      <c r="C35" s="17"/>
      <c r="D35" s="17"/>
      <c r="E35" s="17"/>
      <c r="F35" s="17"/>
      <c r="G35" s="17"/>
      <c r="H35" s="17"/>
      <c r="I35" s="17"/>
      <c r="J35" s="17"/>
      <c r="K35" s="17"/>
      <c r="L35" s="17"/>
      <c r="M35" s="17"/>
      <c r="N35" s="17"/>
      <c r="O35" s="17"/>
    </row>
    <row r="36" spans="1:15" x14ac:dyDescent="0.25">
      <c r="A36" s="17"/>
      <c r="B36" s="17"/>
      <c r="C36" s="17"/>
      <c r="D36" s="17"/>
      <c r="E36" s="17"/>
      <c r="F36" s="17"/>
      <c r="G36" s="17"/>
      <c r="H36" s="17"/>
      <c r="I36" s="17"/>
      <c r="J36" s="17"/>
      <c r="K36" s="17"/>
      <c r="L36" s="17"/>
      <c r="M36" s="17"/>
      <c r="N36" s="17"/>
      <c r="O36" s="17"/>
    </row>
    <row r="37" spans="1:15" x14ac:dyDescent="0.25">
      <c r="A37" s="17"/>
      <c r="B37" s="171" t="s">
        <v>9</v>
      </c>
      <c r="C37" s="171" t="s">
        <v>82</v>
      </c>
      <c r="D37" s="171" t="s">
        <v>84</v>
      </c>
      <c r="E37" s="179"/>
      <c r="F37" s="179"/>
      <c r="G37" s="17"/>
      <c r="H37" s="17"/>
      <c r="I37" s="17"/>
      <c r="J37" s="17"/>
      <c r="K37" s="17"/>
      <c r="L37" s="17"/>
      <c r="M37" s="17"/>
      <c r="N37" s="17"/>
      <c r="O37" s="17"/>
    </row>
    <row r="38" spans="1:15" ht="30" x14ac:dyDescent="0.25">
      <c r="A38" s="17"/>
      <c r="B38" s="184" t="s">
        <v>23</v>
      </c>
      <c r="C38" s="185">
        <f>+[1]Tablero!I13</f>
        <v>0.49</v>
      </c>
      <c r="D38" s="185">
        <f>+Tablero!M29</f>
        <v>1</v>
      </c>
      <c r="E38" s="180"/>
      <c r="F38" s="183"/>
      <c r="G38" s="17"/>
      <c r="H38" s="17"/>
      <c r="I38" s="17"/>
      <c r="J38" s="17"/>
      <c r="K38" s="17"/>
      <c r="L38" s="17"/>
      <c r="M38" s="17"/>
      <c r="N38" s="17"/>
      <c r="O38" s="17"/>
    </row>
    <row r="39" spans="1:15" ht="30" x14ac:dyDescent="0.25">
      <c r="A39" s="17"/>
      <c r="B39" s="184" t="s">
        <v>42</v>
      </c>
      <c r="C39" s="185">
        <f>+[1]Tablero!I19</f>
        <v>0.51</v>
      </c>
      <c r="D39" s="185">
        <f>+Tablero!M35</f>
        <v>1</v>
      </c>
      <c r="E39" s="180"/>
      <c r="F39" s="183"/>
      <c r="G39" s="17"/>
      <c r="H39" s="17"/>
      <c r="I39" s="17"/>
      <c r="J39" s="17"/>
      <c r="K39" s="17"/>
      <c r="L39" s="17"/>
      <c r="M39" s="17"/>
      <c r="N39" s="17"/>
      <c r="O39" s="17"/>
    </row>
    <row r="40" spans="1:15" ht="30" x14ac:dyDescent="0.25">
      <c r="A40" s="17"/>
      <c r="B40" s="170" t="s">
        <v>47</v>
      </c>
      <c r="C40" s="169">
        <f>+[1]Tablero!I22</f>
        <v>0.48</v>
      </c>
      <c r="D40" s="169">
        <f>+Tablero!M38</f>
        <v>1</v>
      </c>
      <c r="E40" s="180"/>
      <c r="F40" s="183"/>
      <c r="G40" s="17"/>
      <c r="H40" s="17"/>
      <c r="I40" s="17"/>
      <c r="J40" s="17"/>
      <c r="K40" s="17"/>
      <c r="L40" s="17"/>
      <c r="M40" s="17"/>
      <c r="N40" s="17"/>
      <c r="O40" s="17"/>
    </row>
    <row r="41" spans="1:15" ht="45" x14ac:dyDescent="0.25">
      <c r="A41" s="17"/>
      <c r="B41" s="170" t="s">
        <v>61</v>
      </c>
      <c r="C41" s="169">
        <f>+[1]Tablero!I28</f>
        <v>0.52</v>
      </c>
      <c r="D41" s="169">
        <f>+Tablero!M44</f>
        <v>0.87828798825920085</v>
      </c>
      <c r="E41" s="180"/>
      <c r="F41" s="183"/>
      <c r="G41" s="17"/>
      <c r="H41" s="17"/>
      <c r="I41" s="17"/>
      <c r="J41" s="17"/>
      <c r="K41" s="17"/>
      <c r="L41" s="17"/>
      <c r="M41" s="17"/>
      <c r="N41" s="17"/>
      <c r="O41" s="17"/>
    </row>
    <row r="42" spans="1:15" ht="30" x14ac:dyDescent="0.25">
      <c r="A42" s="17"/>
      <c r="B42" s="184" t="s">
        <v>72</v>
      </c>
      <c r="C42" s="185">
        <f>+[1]Tablero!I33</f>
        <v>1</v>
      </c>
      <c r="D42" s="232">
        <f>+Tablero!M48</f>
        <v>1.0153460031347961</v>
      </c>
      <c r="E42" s="180"/>
      <c r="F42" s="183"/>
      <c r="G42" s="17"/>
      <c r="H42" s="17"/>
      <c r="I42" s="17"/>
      <c r="J42" s="17"/>
      <c r="K42" s="17"/>
      <c r="L42" s="17"/>
      <c r="M42" s="17"/>
      <c r="N42" s="17"/>
      <c r="O42" s="17"/>
    </row>
    <row r="43" spans="1:15" x14ac:dyDescent="0.25">
      <c r="A43" s="17"/>
      <c r="B43" s="17"/>
      <c r="C43" s="17"/>
      <c r="D43" s="17"/>
      <c r="E43" s="17"/>
      <c r="F43" s="17"/>
      <c r="G43" s="17"/>
      <c r="H43" s="17"/>
      <c r="I43" s="17"/>
      <c r="J43" s="17"/>
      <c r="K43" s="17"/>
      <c r="L43" s="17"/>
      <c r="M43" s="17"/>
      <c r="N43" s="17"/>
      <c r="O43" s="17"/>
    </row>
    <row r="44" spans="1:15" x14ac:dyDescent="0.25">
      <c r="A44" s="17"/>
      <c r="B44" s="17"/>
      <c r="C44" s="17"/>
      <c r="D44" s="17"/>
      <c r="E44" s="17"/>
      <c r="F44" s="17"/>
      <c r="G44" s="17"/>
      <c r="H44" s="17"/>
      <c r="I44" s="17"/>
      <c r="J44" s="17"/>
      <c r="K44" s="17"/>
      <c r="L44" s="17"/>
      <c r="M44" s="17"/>
      <c r="N44" s="17"/>
      <c r="O44" s="17"/>
    </row>
    <row r="45" spans="1:15" x14ac:dyDescent="0.25">
      <c r="A45" s="17"/>
      <c r="B45" s="17"/>
      <c r="C45" s="17"/>
      <c r="D45" s="17"/>
      <c r="E45" s="17"/>
      <c r="F45" s="17"/>
      <c r="G45" s="17"/>
      <c r="H45" s="17"/>
      <c r="I45" s="17"/>
      <c r="J45" s="17"/>
      <c r="K45" s="17"/>
      <c r="L45" s="17"/>
      <c r="M45" s="17"/>
      <c r="N45" s="17"/>
      <c r="O45" s="17"/>
    </row>
    <row r="46" spans="1:15" x14ac:dyDescent="0.25">
      <c r="A46" s="17"/>
      <c r="B46" s="17"/>
      <c r="C46" s="17"/>
      <c r="D46" s="17"/>
      <c r="E46" s="17"/>
      <c r="F46" s="17"/>
      <c r="G46" s="17"/>
      <c r="H46" s="17"/>
      <c r="I46" s="17"/>
      <c r="J46" s="17"/>
      <c r="K46" s="17"/>
      <c r="L46" s="17"/>
      <c r="M46" s="17"/>
      <c r="N46" s="17"/>
      <c r="O46" s="17"/>
    </row>
    <row r="47" spans="1:15" x14ac:dyDescent="0.25">
      <c r="A47" s="17"/>
      <c r="B47" s="17"/>
      <c r="C47" s="17"/>
      <c r="D47" s="17"/>
      <c r="E47" s="17"/>
      <c r="F47" s="17"/>
      <c r="G47" s="17"/>
      <c r="H47" s="17"/>
      <c r="I47" s="17"/>
      <c r="J47" s="17"/>
      <c r="K47" s="17"/>
      <c r="L47" s="17"/>
      <c r="M47" s="17"/>
      <c r="N47" s="17"/>
      <c r="O47" s="17"/>
    </row>
    <row r="48" spans="1:15" x14ac:dyDescent="0.25">
      <c r="A48" s="17"/>
      <c r="B48" s="17"/>
      <c r="C48" s="17"/>
      <c r="D48" s="17"/>
      <c r="E48" s="17"/>
      <c r="F48" s="17"/>
      <c r="G48" s="17"/>
      <c r="H48" s="17"/>
      <c r="I48" s="17"/>
      <c r="J48" s="17"/>
      <c r="K48" s="17"/>
      <c r="L48" s="17"/>
      <c r="M48" s="17"/>
      <c r="N48" s="17"/>
      <c r="O48" s="17"/>
    </row>
    <row r="49" spans="1:15" x14ac:dyDescent="0.25">
      <c r="A49" s="17"/>
      <c r="B49" s="17"/>
      <c r="C49" s="17"/>
      <c r="D49" s="17"/>
      <c r="E49" s="17"/>
      <c r="F49" s="17"/>
      <c r="G49" s="17"/>
      <c r="H49" s="17"/>
      <c r="I49" s="17"/>
      <c r="J49" s="17"/>
      <c r="K49" s="17"/>
      <c r="L49" s="17"/>
      <c r="M49" s="17"/>
      <c r="N49" s="17"/>
      <c r="O49" s="17"/>
    </row>
    <row r="50" spans="1:15" x14ac:dyDescent="0.25">
      <c r="A50" s="17"/>
      <c r="B50" s="17"/>
      <c r="C50" s="17"/>
      <c r="D50" s="17"/>
      <c r="E50" s="17"/>
      <c r="F50" s="17"/>
      <c r="G50" s="17"/>
      <c r="H50" s="17"/>
      <c r="I50" s="17"/>
      <c r="J50" s="17"/>
      <c r="K50" s="17"/>
      <c r="L50" s="17"/>
      <c r="M50" s="17"/>
      <c r="N50" s="17"/>
      <c r="O50" s="17"/>
    </row>
    <row r="51" spans="1:15" x14ac:dyDescent="0.25">
      <c r="A51" s="17"/>
      <c r="B51" s="17"/>
      <c r="C51" s="17"/>
      <c r="D51" s="17"/>
      <c r="E51" s="17"/>
      <c r="F51" s="17"/>
      <c r="G51" s="17"/>
      <c r="H51" s="17"/>
      <c r="I51" s="17"/>
      <c r="J51" s="17"/>
      <c r="K51" s="17"/>
      <c r="L51" s="17"/>
      <c r="M51" s="17"/>
      <c r="N51" s="17"/>
      <c r="O51" s="17"/>
    </row>
    <row r="52" spans="1:15" x14ac:dyDescent="0.25">
      <c r="A52" s="17"/>
      <c r="B52" s="17"/>
      <c r="C52" s="17"/>
      <c r="D52" s="17"/>
      <c r="E52" s="17"/>
      <c r="F52" s="17"/>
      <c r="G52" s="17"/>
      <c r="H52" s="17"/>
      <c r="I52" s="17"/>
      <c r="J52" s="17"/>
      <c r="K52" s="17"/>
      <c r="L52" s="17"/>
      <c r="M52" s="17"/>
      <c r="N52" s="17"/>
      <c r="O52" s="17"/>
    </row>
    <row r="53" spans="1:15" x14ac:dyDescent="0.25">
      <c r="A53" s="17"/>
      <c r="B53" s="17"/>
      <c r="C53" s="17"/>
      <c r="D53" s="17"/>
      <c r="E53" s="17"/>
      <c r="F53" s="17"/>
      <c r="G53" s="17"/>
      <c r="H53" s="17"/>
      <c r="I53" s="17"/>
      <c r="J53" s="17"/>
      <c r="K53" s="17"/>
      <c r="L53" s="17"/>
      <c r="M53" s="17"/>
      <c r="N53" s="17"/>
      <c r="O53" s="17"/>
    </row>
    <row r="54" spans="1:15" x14ac:dyDescent="0.25">
      <c r="A54" s="17"/>
      <c r="B54" s="17"/>
      <c r="C54" s="17"/>
      <c r="D54" s="17"/>
      <c r="E54" s="17"/>
      <c r="F54" s="17"/>
      <c r="G54" s="17"/>
      <c r="H54" s="17"/>
      <c r="I54" s="17"/>
      <c r="J54" s="17"/>
      <c r="K54" s="17"/>
      <c r="L54" s="17"/>
      <c r="M54" s="17"/>
      <c r="N54" s="17"/>
      <c r="O54" s="17"/>
    </row>
    <row r="55" spans="1:15" x14ac:dyDescent="0.25">
      <c r="A55" s="17"/>
      <c r="B55" s="17"/>
      <c r="C55" s="17"/>
      <c r="D55" s="17"/>
      <c r="E55" s="17"/>
      <c r="F55" s="17"/>
      <c r="G55" s="17"/>
      <c r="H55" s="17"/>
      <c r="I55" s="17"/>
      <c r="J55" s="17"/>
      <c r="K55" s="17"/>
      <c r="L55" s="17"/>
      <c r="M55" s="17"/>
      <c r="N55" s="17"/>
      <c r="O55" s="17"/>
    </row>
    <row r="56" spans="1:15" x14ac:dyDescent="0.25">
      <c r="A56" s="17"/>
      <c r="B56" s="17"/>
      <c r="C56" s="17"/>
      <c r="D56" s="17"/>
      <c r="E56" s="17"/>
      <c r="F56" s="17"/>
      <c r="G56" s="17"/>
      <c r="H56" s="17"/>
      <c r="I56" s="17"/>
      <c r="J56" s="17"/>
      <c r="K56" s="17"/>
      <c r="L56" s="17"/>
      <c r="M56" s="17"/>
      <c r="N56" s="17"/>
      <c r="O56" s="17"/>
    </row>
    <row r="57" spans="1:15" x14ac:dyDescent="0.25">
      <c r="A57" s="17"/>
      <c r="B57" s="17"/>
      <c r="C57" s="17"/>
      <c r="D57" s="17"/>
      <c r="E57" s="17"/>
      <c r="F57" s="17"/>
      <c r="G57" s="17"/>
      <c r="H57" s="17"/>
      <c r="I57" s="17"/>
      <c r="J57" s="17"/>
      <c r="K57" s="17"/>
      <c r="L57" s="17"/>
      <c r="M57" s="17"/>
      <c r="N57" s="17"/>
      <c r="O57" s="17"/>
    </row>
    <row r="58" spans="1:15" x14ac:dyDescent="0.25">
      <c r="J58" s="17"/>
      <c r="K58" s="17"/>
      <c r="L58" s="17"/>
      <c r="M58" s="17"/>
      <c r="N58" s="17"/>
      <c r="O58" s="17"/>
    </row>
    <row r="59" spans="1:15" x14ac:dyDescent="0.25">
      <c r="J59" s="17"/>
      <c r="K59" s="17"/>
      <c r="L59" s="17"/>
      <c r="M59" s="17"/>
      <c r="N59" s="17"/>
      <c r="O59" s="17"/>
    </row>
    <row r="60" spans="1:15" x14ac:dyDescent="0.25">
      <c r="J60" s="17"/>
      <c r="K60" s="17"/>
      <c r="L60" s="17"/>
      <c r="M60" s="17"/>
      <c r="N60" s="17"/>
      <c r="O60" s="17"/>
    </row>
    <row r="61" spans="1:15" x14ac:dyDescent="0.25">
      <c r="J61" s="17"/>
      <c r="K61" s="17"/>
      <c r="L61" s="17"/>
      <c r="M61" s="17"/>
      <c r="N61" s="17"/>
      <c r="O61" s="17"/>
    </row>
    <row r="62" spans="1:15" x14ac:dyDescent="0.25">
      <c r="J62" s="17"/>
      <c r="K62" s="17"/>
      <c r="L62" s="17"/>
      <c r="M62" s="17"/>
      <c r="N62" s="17"/>
      <c r="O62" s="17"/>
    </row>
    <row r="63" spans="1:15" x14ac:dyDescent="0.25">
      <c r="J63" s="17"/>
      <c r="K63" s="17"/>
      <c r="L63" s="17"/>
      <c r="M63" s="17"/>
      <c r="N63" s="17"/>
      <c r="O63" s="17"/>
    </row>
    <row r="64" spans="1:15" x14ac:dyDescent="0.25">
      <c r="J64" s="17"/>
      <c r="K64" s="17"/>
      <c r="L64" s="17"/>
      <c r="M64" s="17"/>
      <c r="N64" s="17"/>
      <c r="O64" s="17"/>
    </row>
    <row r="65" spans="10:15" x14ac:dyDescent="0.25">
      <c r="J65" s="17"/>
      <c r="K65" s="17"/>
      <c r="L65" s="17"/>
      <c r="M65" s="17"/>
      <c r="N65" s="17"/>
      <c r="O65" s="17"/>
    </row>
    <row r="66" spans="10:15" x14ac:dyDescent="0.25">
      <c r="J66" s="17"/>
      <c r="K66" s="17"/>
      <c r="L66" s="17"/>
      <c r="M66" s="17"/>
      <c r="N66" s="17"/>
      <c r="O66" s="17"/>
    </row>
    <row r="67" spans="10:15" x14ac:dyDescent="0.25">
      <c r="J67" s="17"/>
      <c r="K67" s="17"/>
      <c r="L67" s="17"/>
      <c r="M67" s="17"/>
      <c r="N67" s="17"/>
      <c r="O67" s="17"/>
    </row>
    <row r="68" spans="10:15" x14ac:dyDescent="0.25">
      <c r="J68" s="17"/>
      <c r="K68" s="17"/>
      <c r="L68" s="17"/>
      <c r="M68" s="17"/>
      <c r="N68" s="17"/>
      <c r="O68" s="17"/>
    </row>
    <row r="69" spans="10:15" x14ac:dyDescent="0.25">
      <c r="J69" s="17"/>
      <c r="K69" s="17"/>
      <c r="L69" s="17"/>
      <c r="M69" s="17"/>
      <c r="N69" s="17"/>
      <c r="O69" s="17"/>
    </row>
    <row r="70" spans="10:15" x14ac:dyDescent="0.25">
      <c r="J70" s="17"/>
      <c r="K70" s="17"/>
      <c r="L70" s="17"/>
      <c r="M70" s="17"/>
      <c r="N70" s="17"/>
      <c r="O70" s="17"/>
    </row>
    <row r="71" spans="10:15" x14ac:dyDescent="0.25">
      <c r="J71" s="17"/>
      <c r="K71" s="17"/>
      <c r="L71" s="17"/>
      <c r="M71" s="17"/>
      <c r="N71" s="17"/>
      <c r="O71" s="17"/>
    </row>
    <row r="72" spans="10:15" x14ac:dyDescent="0.25">
      <c r="J72" s="17"/>
      <c r="K72" s="17"/>
      <c r="L72" s="17"/>
      <c r="M72" s="17"/>
      <c r="N72" s="17"/>
      <c r="O72" s="17"/>
    </row>
  </sheetData>
  <pageMargins left="0.7" right="0.7" top="0.75" bottom="0.75" header="0.3" footer="0.3"/>
  <pageSetup scale="44"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FCE1-792A-45CA-8C1C-65ACB3562280}">
  <dimension ref="A1:AI31"/>
  <sheetViews>
    <sheetView showGridLines="0" zoomScale="70" zoomScaleNormal="70" workbookViewId="0">
      <pane ySplit="2280" topLeftCell="A20" activePane="bottomLeft"/>
      <selection activeCell="B5" sqref="B1:AB1048576"/>
      <selection pane="bottomLeft" activeCell="E23" sqref="E23"/>
    </sheetView>
  </sheetViews>
  <sheetFormatPr baseColWidth="10" defaultColWidth="11.42578125" defaultRowHeight="15" x14ac:dyDescent="0.25"/>
  <cols>
    <col min="1" max="1" width="6.28515625" customWidth="1"/>
    <col min="2" max="2" width="37.42578125" customWidth="1"/>
    <col min="3" max="3" width="12.85546875" customWidth="1"/>
    <col min="4" max="4" width="14" customWidth="1"/>
    <col min="5" max="5" width="12.28515625" customWidth="1"/>
    <col min="6" max="6" width="12.5703125" customWidth="1"/>
    <col min="7" max="7" width="12.85546875" customWidth="1"/>
    <col min="8" max="8" width="15.28515625" customWidth="1"/>
    <col min="9" max="9" width="11.85546875" customWidth="1"/>
    <col min="10" max="10" width="12" customWidth="1"/>
    <col min="11" max="11" width="10.28515625" customWidth="1"/>
    <col min="12" max="12" width="12.5703125" customWidth="1"/>
    <col min="13" max="13" width="10.5703125" customWidth="1"/>
    <col min="14" max="14" width="12" customWidth="1"/>
    <col min="15" max="15" width="11.140625" customWidth="1"/>
    <col min="16" max="16" width="11.42578125" customWidth="1"/>
    <col min="17" max="17" width="10.7109375" customWidth="1"/>
    <col min="18" max="18" width="11.7109375" customWidth="1"/>
    <col min="19" max="19" width="13.42578125" customWidth="1"/>
    <col min="20" max="20" width="13.28515625" customWidth="1"/>
    <col min="21" max="21" width="11.85546875" customWidth="1"/>
    <col min="22" max="24" width="13" customWidth="1"/>
    <col min="25" max="25" width="12.140625" customWidth="1"/>
    <col min="26" max="26" width="15.28515625" customWidth="1"/>
    <col min="27" max="29" width="16.28515625" customWidth="1"/>
    <col min="30" max="30" width="14" customWidth="1"/>
    <col min="31" max="31" width="3.140625" customWidth="1"/>
    <col min="32" max="32" width="43.28515625" customWidth="1"/>
    <col min="33" max="33" width="4.42578125" customWidth="1"/>
    <col min="35" max="35" width="14.5703125" customWidth="1"/>
  </cols>
  <sheetData>
    <row r="1" spans="1:35" ht="18.75" x14ac:dyDescent="0.3">
      <c r="A1" s="8"/>
      <c r="B1" s="326" t="s">
        <v>85</v>
      </c>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row>
    <row r="2" spans="1:35" ht="18.75" x14ac:dyDescent="0.3">
      <c r="A2" s="8"/>
      <c r="B2" s="326" t="s">
        <v>86</v>
      </c>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row>
    <row r="3" spans="1:35" ht="18.75" x14ac:dyDescent="0.3">
      <c r="A3" s="8"/>
      <c r="B3" s="326" t="s">
        <v>87</v>
      </c>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row>
    <row r="4" spans="1:35" ht="18.75" x14ac:dyDescent="0.3">
      <c r="B4" s="331" t="s">
        <v>88</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row>
    <row r="5" spans="1:35" ht="72" x14ac:dyDescent="0.25">
      <c r="B5" s="1" t="s">
        <v>12</v>
      </c>
      <c r="C5" s="1" t="s">
        <v>89</v>
      </c>
      <c r="D5" s="1" t="s">
        <v>90</v>
      </c>
      <c r="E5" s="1" t="s">
        <v>91</v>
      </c>
      <c r="F5" s="1" t="s">
        <v>92</v>
      </c>
      <c r="G5" s="1" t="s">
        <v>93</v>
      </c>
      <c r="H5" s="1" t="s">
        <v>94</v>
      </c>
      <c r="I5" s="1" t="s">
        <v>95</v>
      </c>
      <c r="J5" s="1" t="s">
        <v>96</v>
      </c>
      <c r="K5" s="1" t="s">
        <v>97</v>
      </c>
      <c r="L5" s="1" t="s">
        <v>98</v>
      </c>
      <c r="M5" s="1" t="s">
        <v>99</v>
      </c>
      <c r="N5" s="1" t="s">
        <v>100</v>
      </c>
      <c r="O5" s="1" t="s">
        <v>101</v>
      </c>
      <c r="P5" s="1" t="s">
        <v>102</v>
      </c>
      <c r="Q5" s="1" t="s">
        <v>103</v>
      </c>
      <c r="R5" s="1" t="s">
        <v>104</v>
      </c>
      <c r="S5" s="1" t="s">
        <v>105</v>
      </c>
      <c r="T5" s="1" t="s">
        <v>106</v>
      </c>
      <c r="U5" s="1" t="s">
        <v>107</v>
      </c>
      <c r="V5" s="1" t="s">
        <v>108</v>
      </c>
      <c r="W5" s="1" t="s">
        <v>109</v>
      </c>
      <c r="X5" s="1" t="s">
        <v>110</v>
      </c>
      <c r="Y5" s="1" t="s">
        <v>111</v>
      </c>
      <c r="Z5" s="1" t="s">
        <v>112</v>
      </c>
      <c r="AA5" s="1" t="s">
        <v>113</v>
      </c>
      <c r="AB5" s="1" t="s">
        <v>114</v>
      </c>
      <c r="AC5" s="1" t="s">
        <v>354</v>
      </c>
      <c r="AD5" s="327" t="s">
        <v>116</v>
      </c>
      <c r="AE5" s="328"/>
      <c r="AF5" s="3" t="s">
        <v>21</v>
      </c>
      <c r="AH5" s="15" t="s">
        <v>117</v>
      </c>
    </row>
    <row r="6" spans="1:35" ht="44.25" customHeight="1" x14ac:dyDescent="0.3">
      <c r="B6" s="12" t="s">
        <v>118</v>
      </c>
      <c r="C6" s="12"/>
      <c r="D6" s="12"/>
      <c r="E6" s="12"/>
      <c r="F6" s="12"/>
      <c r="G6" s="12"/>
      <c r="H6" s="12"/>
      <c r="I6" s="12"/>
      <c r="J6" s="12"/>
      <c r="K6" s="12"/>
      <c r="L6" s="12"/>
      <c r="M6" s="12"/>
      <c r="N6" s="12"/>
      <c r="O6" s="12"/>
      <c r="P6" s="12"/>
      <c r="Q6" s="12"/>
      <c r="R6" s="12"/>
      <c r="S6" s="12"/>
      <c r="T6" s="12"/>
      <c r="U6" s="12"/>
      <c r="V6" s="12"/>
      <c r="W6" s="12"/>
      <c r="X6" s="12"/>
      <c r="Y6" s="12"/>
      <c r="Z6" s="12"/>
      <c r="AA6" s="13"/>
      <c r="AB6" s="13"/>
      <c r="AC6" s="13"/>
      <c r="AD6" s="329"/>
      <c r="AE6" s="330"/>
      <c r="AF6" s="14"/>
      <c r="AH6" s="5"/>
      <c r="AI6" t="s">
        <v>119</v>
      </c>
    </row>
    <row r="7" spans="1:35" ht="32.25" customHeight="1" x14ac:dyDescent="0.25">
      <c r="B7" s="11" t="s">
        <v>120</v>
      </c>
      <c r="C7" s="4">
        <v>0</v>
      </c>
      <c r="D7" s="13">
        <v>0</v>
      </c>
      <c r="E7" s="4">
        <v>0</v>
      </c>
      <c r="F7" s="13">
        <v>0</v>
      </c>
      <c r="G7" s="4">
        <v>0</v>
      </c>
      <c r="H7" s="13">
        <v>0</v>
      </c>
      <c r="I7" s="4">
        <v>0</v>
      </c>
      <c r="J7" s="13">
        <v>0</v>
      </c>
      <c r="K7" s="26">
        <v>0</v>
      </c>
      <c r="L7" s="13">
        <v>0</v>
      </c>
      <c r="M7" s="26">
        <v>0</v>
      </c>
      <c r="N7" s="13">
        <v>0</v>
      </c>
      <c r="O7" s="26">
        <v>0</v>
      </c>
      <c r="P7" s="13">
        <v>0</v>
      </c>
      <c r="Q7" s="26">
        <v>0</v>
      </c>
      <c r="R7" s="13">
        <v>0</v>
      </c>
      <c r="S7" s="26">
        <v>0</v>
      </c>
      <c r="T7" s="13">
        <v>0</v>
      </c>
      <c r="U7" s="26">
        <v>0</v>
      </c>
      <c r="V7" s="13"/>
      <c r="W7" s="26">
        <v>0</v>
      </c>
      <c r="X7" s="13"/>
      <c r="Y7" s="26">
        <v>6.8</v>
      </c>
      <c r="Z7" s="13"/>
      <c r="AA7" s="4">
        <f>+C7+E7+G7+I7+K7+M7+O7+Q7+S7+U7+W7+Y7</f>
        <v>6.8</v>
      </c>
      <c r="AB7" s="4">
        <f>C7+E7+G7+I7+K7+M7+O7+Q7+S7</f>
        <v>0</v>
      </c>
      <c r="AC7" s="28">
        <f>+D7+F7+H7+J7+L7+N7+P7+R7+T7+V7+X7+Z7</f>
        <v>0</v>
      </c>
      <c r="AD7" s="7">
        <f>IF(AB7=0,0,IF((AC7/AB7)&gt;=1.2,1.2,(AC7/AB7)))</f>
        <v>0</v>
      </c>
      <c r="AE7" s="31">
        <f>AD7</f>
        <v>0</v>
      </c>
      <c r="AF7" s="2" t="s">
        <v>121</v>
      </c>
      <c r="AH7" s="35"/>
      <c r="AI7" t="s">
        <v>122</v>
      </c>
    </row>
    <row r="8" spans="1:35" ht="24.75" customHeight="1" x14ac:dyDescent="0.25">
      <c r="B8" s="11" t="s">
        <v>316</v>
      </c>
      <c r="C8" s="4">
        <v>0</v>
      </c>
      <c r="D8" s="13">
        <v>0</v>
      </c>
      <c r="E8" s="4">
        <v>0</v>
      </c>
      <c r="F8" s="13">
        <v>0</v>
      </c>
      <c r="G8" s="4">
        <v>0</v>
      </c>
      <c r="H8" s="13">
        <v>0</v>
      </c>
      <c r="I8" s="4">
        <v>0</v>
      </c>
      <c r="J8" s="13">
        <v>0</v>
      </c>
      <c r="K8" s="26">
        <v>0</v>
      </c>
      <c r="L8" s="13">
        <v>0</v>
      </c>
      <c r="M8" s="26">
        <v>0</v>
      </c>
      <c r="N8" s="13">
        <v>0</v>
      </c>
      <c r="O8" s="26">
        <v>0</v>
      </c>
      <c r="P8" s="13">
        <v>0</v>
      </c>
      <c r="Q8" s="26">
        <v>0</v>
      </c>
      <c r="R8" s="13">
        <v>0</v>
      </c>
      <c r="S8" s="26">
        <v>0</v>
      </c>
      <c r="T8" s="13">
        <v>0.2</v>
      </c>
      <c r="U8" s="26">
        <v>0</v>
      </c>
      <c r="V8" s="13"/>
      <c r="W8" s="26">
        <v>0</v>
      </c>
      <c r="X8" s="13"/>
      <c r="Y8" s="26">
        <v>1</v>
      </c>
      <c r="Z8" s="13"/>
      <c r="AA8" s="4">
        <f t="shared" ref="AA8:AA9" si="0">+C8+E8+G8+I8+K8+M8+O8+Q8+S8+U8+W8+Y8</f>
        <v>1</v>
      </c>
      <c r="AB8" s="4">
        <f t="shared" ref="AB8:AB9" si="1">C8+E8+G8+I8+K8+M8+O8+Q8+S8</f>
        <v>0</v>
      </c>
      <c r="AC8" s="28">
        <f t="shared" ref="AC8:AC9" si="2">+D8+F8+H8+J8+L8+N8+P8+R8+T8+V8+X8+Z8</f>
        <v>0.2</v>
      </c>
      <c r="AD8" s="7">
        <f t="shared" ref="AD8:AD30" si="3">IF(AB8=0,0,IF((AC8/AB8)&gt;=1.2,1.2,(AC8/AB8)))</f>
        <v>0</v>
      </c>
      <c r="AE8" s="31">
        <f t="shared" ref="AE8:AE9" si="4">AD8</f>
        <v>0</v>
      </c>
      <c r="AF8" s="2" t="s">
        <v>123</v>
      </c>
      <c r="AH8" s="9"/>
      <c r="AI8" s="24">
        <v>0.9</v>
      </c>
    </row>
    <row r="9" spans="1:35" ht="99" customHeight="1" x14ac:dyDescent="0.25">
      <c r="B9" s="11" t="s">
        <v>124</v>
      </c>
      <c r="C9" s="4">
        <v>0</v>
      </c>
      <c r="D9" s="162"/>
      <c r="E9" s="4">
        <v>0</v>
      </c>
      <c r="F9" s="162"/>
      <c r="G9" s="4">
        <v>12.9</v>
      </c>
      <c r="H9" s="162"/>
      <c r="I9" s="4">
        <v>0</v>
      </c>
      <c r="J9" s="163">
        <v>0</v>
      </c>
      <c r="K9" s="26">
        <v>0</v>
      </c>
      <c r="L9" s="13">
        <v>14.95</v>
      </c>
      <c r="M9" s="26">
        <v>20.059999999999999</v>
      </c>
      <c r="N9" s="13">
        <v>6.31</v>
      </c>
      <c r="O9" s="26">
        <v>0</v>
      </c>
      <c r="P9" s="13">
        <v>0</v>
      </c>
      <c r="Q9" s="26">
        <v>0</v>
      </c>
      <c r="R9" s="13">
        <v>0</v>
      </c>
      <c r="S9" s="26">
        <v>0</v>
      </c>
      <c r="T9" s="13">
        <v>0</v>
      </c>
      <c r="U9" s="26">
        <v>0</v>
      </c>
      <c r="V9" s="13"/>
      <c r="W9" s="26">
        <v>0</v>
      </c>
      <c r="X9" s="13"/>
      <c r="Y9" s="26"/>
      <c r="Z9" s="13"/>
      <c r="AA9" s="4">
        <f t="shared" si="0"/>
        <v>32.96</v>
      </c>
      <c r="AB9" s="4">
        <f t="shared" si="1"/>
        <v>32.96</v>
      </c>
      <c r="AC9" s="29">
        <f t="shared" si="2"/>
        <v>21.259999999999998</v>
      </c>
      <c r="AD9" s="7">
        <f t="shared" si="3"/>
        <v>0.64502427184466016</v>
      </c>
      <c r="AE9" s="31">
        <f t="shared" si="4"/>
        <v>0.64502427184466016</v>
      </c>
      <c r="AF9" s="2" t="s">
        <v>125</v>
      </c>
      <c r="AH9" s="30"/>
      <c r="AI9" s="25" t="s">
        <v>126</v>
      </c>
    </row>
    <row r="10" spans="1:35" ht="78" customHeight="1" x14ac:dyDescent="0.25">
      <c r="B10" s="16" t="s">
        <v>127</v>
      </c>
      <c r="C10" s="13"/>
      <c r="D10" s="13"/>
      <c r="E10" s="13"/>
      <c r="F10" s="13"/>
      <c r="G10" s="13"/>
      <c r="H10" s="13"/>
      <c r="I10" s="13"/>
      <c r="J10" s="13"/>
      <c r="K10" s="13"/>
      <c r="L10" s="13"/>
      <c r="M10" s="13"/>
      <c r="N10" s="13"/>
      <c r="O10" s="13"/>
      <c r="P10" s="13"/>
      <c r="Q10" s="13"/>
      <c r="R10" s="13"/>
      <c r="S10" s="13"/>
      <c r="T10" s="13"/>
      <c r="U10" s="13"/>
      <c r="V10" s="13"/>
      <c r="W10" s="13"/>
      <c r="X10" s="13"/>
      <c r="Y10" s="13"/>
      <c r="Z10" s="13"/>
      <c r="AA10" s="233">
        <f>SUM(AA11:AA18)</f>
        <v>61.84</v>
      </c>
      <c r="AB10" s="19">
        <f>SUM(AB11:AB18)</f>
        <v>51.04</v>
      </c>
      <c r="AC10" s="19">
        <f>SUM(AC11:AC18)</f>
        <v>37.975000000000001</v>
      </c>
      <c r="AD10" s="20">
        <f t="shared" si="3"/>
        <v>0.74402429467084641</v>
      </c>
      <c r="AE10" s="32">
        <f t="shared" ref="AE10:AE30" si="5">AD10</f>
        <v>0.74402429467084641</v>
      </c>
      <c r="AF10" s="14"/>
      <c r="AG10" s="22"/>
    </row>
    <row r="11" spans="1:35" ht="16.5" x14ac:dyDescent="0.25">
      <c r="B11" s="11" t="s">
        <v>128</v>
      </c>
      <c r="C11" s="4">
        <v>0</v>
      </c>
      <c r="D11" s="13">
        <v>0</v>
      </c>
      <c r="E11" s="4">
        <v>0</v>
      </c>
      <c r="F11" s="13">
        <v>0</v>
      </c>
      <c r="G11" s="4">
        <v>0</v>
      </c>
      <c r="H11" s="13">
        <v>0</v>
      </c>
      <c r="I11" s="4">
        <v>2.0499999999999998</v>
      </c>
      <c r="J11" s="13">
        <v>0.5</v>
      </c>
      <c r="K11" s="26">
        <v>0.6</v>
      </c>
      <c r="L11" s="13">
        <v>0</v>
      </c>
      <c r="M11" s="26">
        <v>1.1299999999999999</v>
      </c>
      <c r="N11" s="13">
        <v>0</v>
      </c>
      <c r="O11" s="26">
        <v>4.29</v>
      </c>
      <c r="P11" s="13">
        <v>0</v>
      </c>
      <c r="Q11" s="26">
        <v>3.45</v>
      </c>
      <c r="R11" s="13">
        <v>0</v>
      </c>
      <c r="S11" s="26">
        <v>1.99</v>
      </c>
      <c r="T11" s="13">
        <v>0</v>
      </c>
      <c r="U11" s="26">
        <v>1.74</v>
      </c>
      <c r="V11" s="13"/>
      <c r="W11" s="26">
        <v>3.28</v>
      </c>
      <c r="X11" s="13"/>
      <c r="Y11" s="26">
        <v>1.47</v>
      </c>
      <c r="Z11" s="13"/>
      <c r="AA11" s="4">
        <f t="shared" ref="AA11:AA18" si="6">+C11+E11+G11+I11+K11+M11+O11+Q11+S11+U11+W11+Y11</f>
        <v>20</v>
      </c>
      <c r="AB11" s="4">
        <f t="shared" ref="AB11:AB18" si="7">+C11+E11+G11+I11+K11+M11+O11+Q11+S11</f>
        <v>13.51</v>
      </c>
      <c r="AC11" s="28">
        <f t="shared" ref="AC11:AC18" si="8">+D11+F11+H11+J11+L11+N11+P11+R11+T11</f>
        <v>0.5</v>
      </c>
      <c r="AD11" s="7">
        <f t="shared" si="3"/>
        <v>3.7009622501850484E-2</v>
      </c>
      <c r="AE11" s="31">
        <f t="shared" si="5"/>
        <v>3.7009622501850484E-2</v>
      </c>
      <c r="AF11" s="2"/>
      <c r="AG11" s="17"/>
    </row>
    <row r="12" spans="1:35" ht="71.25" customHeight="1" x14ac:dyDescent="0.25">
      <c r="B12" s="11" t="s">
        <v>319</v>
      </c>
      <c r="C12" s="4">
        <v>2</v>
      </c>
      <c r="D12" s="13">
        <v>0.59</v>
      </c>
      <c r="E12" s="4">
        <v>0</v>
      </c>
      <c r="F12" s="13">
        <v>0.3</v>
      </c>
      <c r="G12" s="4">
        <v>0</v>
      </c>
      <c r="H12" s="13">
        <v>0.96</v>
      </c>
      <c r="I12" s="4">
        <v>0</v>
      </c>
      <c r="J12" s="13">
        <v>0.1</v>
      </c>
      <c r="K12" s="26">
        <v>0</v>
      </c>
      <c r="L12" s="13">
        <v>0</v>
      </c>
      <c r="M12" s="26">
        <v>0</v>
      </c>
      <c r="N12" s="13">
        <v>0.05</v>
      </c>
      <c r="O12" s="26">
        <v>0</v>
      </c>
      <c r="P12" s="13">
        <v>0</v>
      </c>
      <c r="Q12" s="26">
        <v>0</v>
      </c>
      <c r="R12" s="13">
        <v>0</v>
      </c>
      <c r="S12" s="26">
        <v>0</v>
      </c>
      <c r="T12" s="13">
        <v>0</v>
      </c>
      <c r="U12" s="26">
        <v>0</v>
      </c>
      <c r="V12" s="13"/>
      <c r="W12" s="26">
        <v>0</v>
      </c>
      <c r="X12" s="13"/>
      <c r="Y12" s="26">
        <v>0</v>
      </c>
      <c r="Z12" s="13"/>
      <c r="AA12" s="4">
        <f>+C12+E12+G12+I12+K12+M12+O12+Q12+S12+U12+W12+Y12</f>
        <v>2</v>
      </c>
      <c r="AB12" s="4">
        <f>+C12+E12+G12+I12+K12+M12+O12+Q12+S12</f>
        <v>2</v>
      </c>
      <c r="AC12" s="28">
        <f>+D12+F12+H12+J12+L12+N12+P12+R12+T12</f>
        <v>2</v>
      </c>
      <c r="AD12" s="7">
        <f t="shared" si="3"/>
        <v>1</v>
      </c>
      <c r="AE12" s="31">
        <f t="shared" si="5"/>
        <v>1</v>
      </c>
      <c r="AF12" s="2"/>
      <c r="AG12" s="17"/>
    </row>
    <row r="13" spans="1:35" ht="31.5" customHeight="1" x14ac:dyDescent="0.25">
      <c r="B13" s="11" t="s">
        <v>353</v>
      </c>
      <c r="C13" s="4">
        <v>0</v>
      </c>
      <c r="D13" s="13">
        <v>0</v>
      </c>
      <c r="E13" s="4">
        <v>0</v>
      </c>
      <c r="F13" s="13">
        <v>0</v>
      </c>
      <c r="G13" s="4">
        <v>0</v>
      </c>
      <c r="H13" s="13">
        <v>0</v>
      </c>
      <c r="I13" s="4">
        <v>0</v>
      </c>
      <c r="J13" s="13">
        <v>0</v>
      </c>
      <c r="K13" s="26">
        <v>0</v>
      </c>
      <c r="L13" s="13">
        <v>0</v>
      </c>
      <c r="M13" s="26">
        <v>2.5299999999999998</v>
      </c>
      <c r="N13" s="13">
        <v>2.5299999999999998</v>
      </c>
      <c r="O13" s="26">
        <v>0</v>
      </c>
      <c r="P13" s="13">
        <v>0</v>
      </c>
      <c r="Q13" s="26">
        <v>0</v>
      </c>
      <c r="R13" s="13">
        <v>0</v>
      </c>
      <c r="S13" s="26">
        <v>0</v>
      </c>
      <c r="T13" s="13">
        <v>0</v>
      </c>
      <c r="U13" s="26">
        <v>0</v>
      </c>
      <c r="V13" s="13"/>
      <c r="W13" s="26"/>
      <c r="X13" s="13"/>
      <c r="Y13" s="26">
        <v>0</v>
      </c>
      <c r="Z13" s="13"/>
      <c r="AA13" s="4">
        <f t="shared" ref="AA13:AA18" si="9">+C13+E13+G13+I13+K13+M13+O13+Q13+S13+U13+W13+Y13</f>
        <v>2.5299999999999998</v>
      </c>
      <c r="AB13" s="4">
        <f t="shared" ref="AB13:AB18" si="10">+C13+E13+G13+I13+K13+M13+O13+Q13+S13</f>
        <v>2.5299999999999998</v>
      </c>
      <c r="AC13" s="28">
        <f t="shared" ref="AC13:AC18" si="11">+D13+F13+H13+J13+L13+N13+P13+R13+T13</f>
        <v>2.5299999999999998</v>
      </c>
      <c r="AD13" s="7">
        <f t="shared" si="3"/>
        <v>1</v>
      </c>
      <c r="AE13" s="31">
        <f t="shared" si="5"/>
        <v>1</v>
      </c>
      <c r="AF13" s="2"/>
      <c r="AG13" s="17"/>
    </row>
    <row r="14" spans="1:35" ht="31.5" customHeight="1" x14ac:dyDescent="0.25">
      <c r="B14" s="11" t="s">
        <v>129</v>
      </c>
      <c r="C14" s="4">
        <v>0</v>
      </c>
      <c r="D14" s="13">
        <v>0</v>
      </c>
      <c r="E14" s="4">
        <v>0</v>
      </c>
      <c r="F14" s="13">
        <v>0</v>
      </c>
      <c r="G14" s="4">
        <v>0</v>
      </c>
      <c r="H14" s="13">
        <v>0</v>
      </c>
      <c r="I14" s="4">
        <v>11.9</v>
      </c>
      <c r="J14" s="13">
        <v>11.9</v>
      </c>
      <c r="K14" s="26">
        <v>0</v>
      </c>
      <c r="L14" s="13">
        <v>0</v>
      </c>
      <c r="M14" s="26">
        <v>0</v>
      </c>
      <c r="N14" s="13">
        <v>0</v>
      </c>
      <c r="O14" s="26">
        <v>0</v>
      </c>
      <c r="P14" s="13">
        <v>0</v>
      </c>
      <c r="Q14" s="26">
        <v>0</v>
      </c>
      <c r="R14" s="13">
        <v>0</v>
      </c>
      <c r="S14" s="26">
        <v>0</v>
      </c>
      <c r="T14" s="13">
        <v>0</v>
      </c>
      <c r="U14" s="26">
        <v>0</v>
      </c>
      <c r="V14" s="13"/>
      <c r="W14" s="26">
        <v>0</v>
      </c>
      <c r="X14" s="13"/>
      <c r="Y14" s="26">
        <v>0</v>
      </c>
      <c r="Z14" s="13"/>
      <c r="AA14" s="4">
        <f t="shared" si="9"/>
        <v>11.9</v>
      </c>
      <c r="AB14" s="4">
        <f t="shared" si="10"/>
        <v>11.9</v>
      </c>
      <c r="AC14" s="28">
        <f t="shared" si="11"/>
        <v>11.9</v>
      </c>
      <c r="AD14" s="7">
        <f t="shared" si="3"/>
        <v>1</v>
      </c>
      <c r="AE14" s="31">
        <f t="shared" si="5"/>
        <v>1</v>
      </c>
      <c r="AF14" s="2"/>
      <c r="AG14" s="17"/>
    </row>
    <row r="15" spans="1:35" ht="81.75" customHeight="1" x14ac:dyDescent="0.25">
      <c r="B15" s="11" t="s">
        <v>318</v>
      </c>
      <c r="C15" s="4">
        <v>0.5</v>
      </c>
      <c r="D15" s="13">
        <v>0.5</v>
      </c>
      <c r="E15" s="4">
        <v>0.5</v>
      </c>
      <c r="F15" s="13">
        <v>0</v>
      </c>
      <c r="G15" s="4">
        <v>0.5</v>
      </c>
      <c r="H15" s="13">
        <v>0</v>
      </c>
      <c r="I15" s="4">
        <v>0.5</v>
      </c>
      <c r="J15" s="13">
        <v>0</v>
      </c>
      <c r="K15" s="26">
        <v>0.5</v>
      </c>
      <c r="L15" s="13">
        <v>0.32500000000000001</v>
      </c>
      <c r="M15" s="26">
        <v>0.5</v>
      </c>
      <c r="N15" s="13">
        <v>0</v>
      </c>
      <c r="O15" s="26">
        <v>0.5</v>
      </c>
      <c r="P15" s="13">
        <v>0</v>
      </c>
      <c r="Q15" s="26">
        <v>0</v>
      </c>
      <c r="R15" s="13">
        <v>0</v>
      </c>
      <c r="S15" s="26">
        <v>0</v>
      </c>
      <c r="T15" s="13">
        <v>0</v>
      </c>
      <c r="U15" s="26"/>
      <c r="V15" s="13"/>
      <c r="W15" s="26"/>
      <c r="X15" s="13"/>
      <c r="Y15" s="26">
        <v>0.31</v>
      </c>
      <c r="Z15" s="13"/>
      <c r="AA15" s="4">
        <f t="shared" si="9"/>
        <v>3.81</v>
      </c>
      <c r="AB15" s="4">
        <f t="shared" si="10"/>
        <v>3.5</v>
      </c>
      <c r="AC15" s="28">
        <f t="shared" si="11"/>
        <v>0.82499999999999996</v>
      </c>
      <c r="AD15" s="7">
        <f t="shared" si="3"/>
        <v>0.23571428571428571</v>
      </c>
      <c r="AE15" s="31">
        <f t="shared" si="5"/>
        <v>0.23571428571428571</v>
      </c>
      <c r="AF15" s="2" t="s">
        <v>130</v>
      </c>
      <c r="AG15" s="17"/>
    </row>
    <row r="16" spans="1:35" ht="31.5" customHeight="1" x14ac:dyDescent="0.25">
      <c r="B16" s="11" t="s">
        <v>131</v>
      </c>
      <c r="C16" s="4">
        <v>0</v>
      </c>
      <c r="D16" s="13">
        <v>0</v>
      </c>
      <c r="E16" s="4">
        <v>0.6</v>
      </c>
      <c r="F16" s="13">
        <v>0.6</v>
      </c>
      <c r="G16" s="4">
        <v>0</v>
      </c>
      <c r="H16" s="13">
        <v>0</v>
      </c>
      <c r="I16" s="4">
        <v>0</v>
      </c>
      <c r="J16" s="13">
        <v>0</v>
      </c>
      <c r="K16" s="26">
        <v>0</v>
      </c>
      <c r="L16" s="13">
        <v>0</v>
      </c>
      <c r="M16" s="26">
        <v>0</v>
      </c>
      <c r="N16" s="13">
        <v>0</v>
      </c>
      <c r="O16" s="26">
        <v>0</v>
      </c>
      <c r="P16" s="13">
        <v>0</v>
      </c>
      <c r="Q16" s="26">
        <v>0</v>
      </c>
      <c r="R16" s="13">
        <v>0</v>
      </c>
      <c r="S16" s="26">
        <v>0</v>
      </c>
      <c r="T16" s="13">
        <v>0</v>
      </c>
      <c r="U16" s="26">
        <v>0</v>
      </c>
      <c r="V16" s="13"/>
      <c r="W16" s="26">
        <v>0</v>
      </c>
      <c r="X16" s="13"/>
      <c r="Y16" s="26">
        <v>0</v>
      </c>
      <c r="Z16" s="13"/>
      <c r="AA16" s="4">
        <f t="shared" si="9"/>
        <v>0.6</v>
      </c>
      <c r="AB16" s="4">
        <f t="shared" si="10"/>
        <v>0.6</v>
      </c>
      <c r="AC16" s="28">
        <f t="shared" si="11"/>
        <v>0.6</v>
      </c>
      <c r="AD16" s="7">
        <f t="shared" si="3"/>
        <v>1</v>
      </c>
      <c r="AE16" s="31">
        <f t="shared" si="5"/>
        <v>1</v>
      </c>
      <c r="AF16" s="2"/>
      <c r="AG16" s="17"/>
    </row>
    <row r="17" spans="2:33" ht="46.5" customHeight="1" x14ac:dyDescent="0.25">
      <c r="B17" s="11" t="s">
        <v>132</v>
      </c>
      <c r="C17" s="4">
        <v>0</v>
      </c>
      <c r="D17" s="13">
        <v>1.1000000000000001</v>
      </c>
      <c r="E17" s="4">
        <v>0</v>
      </c>
      <c r="F17" s="13">
        <v>0.74</v>
      </c>
      <c r="G17" s="4">
        <v>0</v>
      </c>
      <c r="H17" s="13">
        <v>0.78</v>
      </c>
      <c r="I17" s="4">
        <v>0</v>
      </c>
      <c r="J17" s="13">
        <v>0</v>
      </c>
      <c r="K17" s="26">
        <v>0</v>
      </c>
      <c r="L17" s="13">
        <v>0</v>
      </c>
      <c r="M17" s="26">
        <v>0</v>
      </c>
      <c r="N17" s="13">
        <v>0</v>
      </c>
      <c r="O17" s="26">
        <v>0</v>
      </c>
      <c r="P17" s="13">
        <v>0</v>
      </c>
      <c r="Q17" s="26">
        <v>0</v>
      </c>
      <c r="R17" s="13">
        <v>0</v>
      </c>
      <c r="S17" s="26">
        <v>0</v>
      </c>
      <c r="T17" s="13">
        <v>0</v>
      </c>
      <c r="U17" s="26">
        <v>0</v>
      </c>
      <c r="V17" s="13"/>
      <c r="W17" s="26">
        <v>1</v>
      </c>
      <c r="X17" s="13"/>
      <c r="Y17" s="26">
        <v>3</v>
      </c>
      <c r="Z17" s="13"/>
      <c r="AA17" s="4">
        <f t="shared" si="9"/>
        <v>4</v>
      </c>
      <c r="AB17" s="4">
        <f t="shared" si="10"/>
        <v>0</v>
      </c>
      <c r="AC17" s="28">
        <f t="shared" si="11"/>
        <v>2.62</v>
      </c>
      <c r="AD17" s="7">
        <f t="shared" si="3"/>
        <v>0</v>
      </c>
      <c r="AE17" s="31">
        <f t="shared" si="5"/>
        <v>0</v>
      </c>
      <c r="AF17" s="2" t="s">
        <v>133</v>
      </c>
      <c r="AG17" s="17"/>
    </row>
    <row r="18" spans="2:33" ht="48" customHeight="1" x14ac:dyDescent="0.25">
      <c r="B18" s="11" t="s">
        <v>134</v>
      </c>
      <c r="C18" s="4">
        <v>0</v>
      </c>
      <c r="D18" s="13">
        <v>0</v>
      </c>
      <c r="E18" s="4">
        <v>0</v>
      </c>
      <c r="F18" s="13">
        <v>17</v>
      </c>
      <c r="G18" s="4">
        <v>0</v>
      </c>
      <c r="H18" s="13">
        <v>0</v>
      </c>
      <c r="I18" s="4">
        <v>0</v>
      </c>
      <c r="J18" s="13">
        <v>0</v>
      </c>
      <c r="K18" s="26">
        <v>17</v>
      </c>
      <c r="L18" s="13">
        <v>0</v>
      </c>
      <c r="M18" s="26">
        <v>0</v>
      </c>
      <c r="N18" s="13">
        <v>0</v>
      </c>
      <c r="O18" s="26">
        <v>0</v>
      </c>
      <c r="P18" s="13">
        <v>0</v>
      </c>
      <c r="Q18" s="26">
        <v>0</v>
      </c>
      <c r="R18" s="13">
        <v>0</v>
      </c>
      <c r="S18" s="26">
        <v>0</v>
      </c>
      <c r="T18" s="13">
        <v>0</v>
      </c>
      <c r="U18" s="26">
        <v>0</v>
      </c>
      <c r="V18" s="13"/>
      <c r="W18" s="26">
        <v>0</v>
      </c>
      <c r="X18" s="13"/>
      <c r="Y18" s="26">
        <v>0</v>
      </c>
      <c r="Z18" s="13"/>
      <c r="AA18" s="4">
        <f t="shared" si="9"/>
        <v>17</v>
      </c>
      <c r="AB18" s="4">
        <f t="shared" si="10"/>
        <v>17</v>
      </c>
      <c r="AC18" s="28">
        <f t="shared" si="11"/>
        <v>17</v>
      </c>
      <c r="AD18" s="7">
        <f t="shared" si="3"/>
        <v>1</v>
      </c>
      <c r="AE18" s="31">
        <f t="shared" si="5"/>
        <v>1</v>
      </c>
      <c r="AF18" s="2" t="s">
        <v>135</v>
      </c>
      <c r="AG18" s="17"/>
    </row>
    <row r="19" spans="2:33" ht="85.5" customHeight="1" x14ac:dyDescent="0.25">
      <c r="B19" s="18" t="s">
        <v>136</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f>SUM(AA20:AA28)</f>
        <v>366.73500000000001</v>
      </c>
      <c r="AB19" s="19">
        <f>SUM(AB20:AB28)</f>
        <v>178.72499999999997</v>
      </c>
      <c r="AC19" s="19">
        <f>SUM(AC20:AC28)</f>
        <v>225.47799999999998</v>
      </c>
      <c r="AD19" s="20">
        <f t="shared" si="3"/>
        <v>1.2</v>
      </c>
      <c r="AE19" s="32">
        <f t="shared" si="5"/>
        <v>1.2</v>
      </c>
      <c r="AF19" s="21"/>
      <c r="AG19" s="22"/>
    </row>
    <row r="20" spans="2:33" s="17" customFormat="1" ht="64.5" customHeight="1" x14ac:dyDescent="0.25">
      <c r="B20" s="11" t="s">
        <v>137</v>
      </c>
      <c r="C20" s="4">
        <v>0</v>
      </c>
      <c r="D20" s="13">
        <v>0</v>
      </c>
      <c r="E20" s="4">
        <v>0</v>
      </c>
      <c r="F20" s="13">
        <v>0</v>
      </c>
      <c r="G20" s="4">
        <v>0</v>
      </c>
      <c r="H20" s="13">
        <v>0</v>
      </c>
      <c r="I20" s="4">
        <v>0</v>
      </c>
      <c r="J20" s="13">
        <v>0</v>
      </c>
      <c r="K20" s="26">
        <v>0</v>
      </c>
      <c r="L20" s="13">
        <v>0</v>
      </c>
      <c r="M20" s="26">
        <v>0</v>
      </c>
      <c r="N20" s="13">
        <v>0</v>
      </c>
      <c r="O20" s="26">
        <v>0</v>
      </c>
      <c r="P20" s="13">
        <v>0</v>
      </c>
      <c r="Q20" s="26">
        <v>0</v>
      </c>
      <c r="R20" s="13">
        <v>0</v>
      </c>
      <c r="S20" s="26">
        <v>0</v>
      </c>
      <c r="T20" s="13">
        <v>0</v>
      </c>
      <c r="U20" s="26">
        <v>0</v>
      </c>
      <c r="V20" s="13"/>
      <c r="W20" s="26">
        <v>0</v>
      </c>
      <c r="X20" s="13"/>
      <c r="Y20" s="26">
        <v>2.5299999999999998</v>
      </c>
      <c r="Z20" s="13"/>
      <c r="AA20" s="4">
        <f t="shared" ref="AA20:AA28" si="12">+C20+E20+G20+I20+K20+M20+O20+Q20+S20+U20+W20+Y20</f>
        <v>2.5299999999999998</v>
      </c>
      <c r="AB20" s="4">
        <f t="shared" ref="AB20:AB21" si="13">+C20+E20+G20+I20+K20+M20+O20+Q20+S20</f>
        <v>0</v>
      </c>
      <c r="AC20" s="28">
        <f t="shared" ref="AC20:AC21" si="14">+D20+F20+H20+J20+L20+N20+P20+R20+T20</f>
        <v>0</v>
      </c>
      <c r="AD20" s="7">
        <f t="shared" ref="AD20:AD21" si="15">IF(AB20=0,0,IF((AC20/AB20)&gt;=1.2,1.2,(AC20/AB20)))</f>
        <v>0</v>
      </c>
      <c r="AE20" s="31">
        <f t="shared" si="5"/>
        <v>0</v>
      </c>
      <c r="AF20" s="2" t="s">
        <v>138</v>
      </c>
    </row>
    <row r="21" spans="2:33" s="17" customFormat="1" ht="31.5" customHeight="1" x14ac:dyDescent="0.25">
      <c r="B21" s="11" t="s">
        <v>139</v>
      </c>
      <c r="C21" s="4">
        <v>0</v>
      </c>
      <c r="D21" s="13">
        <v>0</v>
      </c>
      <c r="E21" s="4">
        <v>0</v>
      </c>
      <c r="F21" s="13">
        <v>0</v>
      </c>
      <c r="G21" s="4">
        <v>0</v>
      </c>
      <c r="H21" s="13">
        <v>0</v>
      </c>
      <c r="I21" s="4">
        <v>1</v>
      </c>
      <c r="J21" s="13">
        <v>0</v>
      </c>
      <c r="K21" s="26">
        <v>0</v>
      </c>
      <c r="L21" s="13">
        <v>0.28999999999999998</v>
      </c>
      <c r="M21" s="26">
        <v>25.31</v>
      </c>
      <c r="N21" s="13">
        <v>9.2899999999999991</v>
      </c>
      <c r="O21" s="26">
        <v>0</v>
      </c>
      <c r="P21" s="13">
        <v>0</v>
      </c>
      <c r="Q21" s="26">
        <v>0</v>
      </c>
      <c r="R21" s="13">
        <v>16.73</v>
      </c>
      <c r="S21" s="26">
        <v>0</v>
      </c>
      <c r="T21" s="13">
        <v>0</v>
      </c>
      <c r="U21" s="26">
        <v>0</v>
      </c>
      <c r="V21" s="13"/>
      <c r="W21" s="26">
        <v>0</v>
      </c>
      <c r="X21" s="13"/>
      <c r="Y21" s="26">
        <v>0</v>
      </c>
      <c r="Z21" s="13"/>
      <c r="AA21" s="4">
        <f t="shared" si="12"/>
        <v>26.31</v>
      </c>
      <c r="AB21" s="4">
        <f t="shared" si="13"/>
        <v>26.31</v>
      </c>
      <c r="AC21" s="28">
        <f t="shared" si="14"/>
        <v>26.31</v>
      </c>
      <c r="AD21" s="7">
        <f t="shared" si="15"/>
        <v>1</v>
      </c>
      <c r="AE21" s="31">
        <f t="shared" si="5"/>
        <v>1</v>
      </c>
      <c r="AF21" s="2" t="s">
        <v>140</v>
      </c>
    </row>
    <row r="22" spans="2:33" s="17" customFormat="1" ht="31.5" customHeight="1" x14ac:dyDescent="0.25">
      <c r="B22" s="11" t="s">
        <v>141</v>
      </c>
      <c r="C22" s="4">
        <v>0</v>
      </c>
      <c r="D22" s="13">
        <v>0</v>
      </c>
      <c r="E22" s="4">
        <v>0</v>
      </c>
      <c r="F22" s="13">
        <v>0</v>
      </c>
      <c r="G22" s="4">
        <v>0</v>
      </c>
      <c r="H22" s="13">
        <v>0</v>
      </c>
      <c r="I22" s="4">
        <v>15.7</v>
      </c>
      <c r="J22" s="13">
        <v>15.7</v>
      </c>
      <c r="K22" s="26">
        <v>0</v>
      </c>
      <c r="L22" s="13">
        <v>0</v>
      </c>
      <c r="M22" s="26">
        <v>0</v>
      </c>
      <c r="N22" s="13">
        <v>0</v>
      </c>
      <c r="O22" s="26">
        <v>0</v>
      </c>
      <c r="P22" s="13">
        <v>0</v>
      </c>
      <c r="Q22" s="26">
        <v>0</v>
      </c>
      <c r="R22" s="13">
        <v>0</v>
      </c>
      <c r="S22" s="26">
        <v>0</v>
      </c>
      <c r="T22" s="13">
        <v>0</v>
      </c>
      <c r="U22" s="26">
        <v>0</v>
      </c>
      <c r="V22" s="13"/>
      <c r="W22" s="26">
        <v>89.4</v>
      </c>
      <c r="X22" s="13"/>
      <c r="Y22" s="26">
        <v>0</v>
      </c>
      <c r="Z22" s="13"/>
      <c r="AA22" s="4">
        <f t="shared" si="12"/>
        <v>105.10000000000001</v>
      </c>
      <c r="AB22" s="4">
        <f>+C22+E22+G22+I22+K22+M22+O22+Q22+S22</f>
        <v>15.7</v>
      </c>
      <c r="AC22" s="28">
        <f>+D22+F22+H22+J22+L22+N22+P22+R22+T22</f>
        <v>15.7</v>
      </c>
      <c r="AD22" s="7">
        <f t="shared" si="3"/>
        <v>1</v>
      </c>
      <c r="AE22" s="31">
        <f t="shared" si="5"/>
        <v>1</v>
      </c>
      <c r="AF22" s="2" t="s">
        <v>140</v>
      </c>
    </row>
    <row r="23" spans="2:33" s="17" customFormat="1" ht="31.5" customHeight="1" x14ac:dyDescent="0.25">
      <c r="B23" s="11" t="s">
        <v>142</v>
      </c>
      <c r="C23" s="4">
        <v>0</v>
      </c>
      <c r="D23" s="13">
        <v>0</v>
      </c>
      <c r="E23" s="4">
        <v>0</v>
      </c>
      <c r="F23" s="13">
        <v>0</v>
      </c>
      <c r="G23" s="4">
        <v>0</v>
      </c>
      <c r="H23" s="13">
        <v>0</v>
      </c>
      <c r="I23" s="4">
        <v>0</v>
      </c>
      <c r="J23" s="13">
        <v>0</v>
      </c>
      <c r="K23" s="26">
        <v>0</v>
      </c>
      <c r="L23" s="13">
        <v>0</v>
      </c>
      <c r="M23" s="26">
        <v>0</v>
      </c>
      <c r="N23" s="13">
        <v>0</v>
      </c>
      <c r="O23" s="26">
        <v>0</v>
      </c>
      <c r="P23" s="13">
        <v>0</v>
      </c>
      <c r="Q23" s="26">
        <v>0</v>
      </c>
      <c r="R23" s="13">
        <v>0</v>
      </c>
      <c r="S23" s="26">
        <v>0</v>
      </c>
      <c r="T23" s="13">
        <v>24</v>
      </c>
      <c r="U23" s="26">
        <v>0</v>
      </c>
      <c r="V23" s="13"/>
      <c r="W23" s="26">
        <v>0</v>
      </c>
      <c r="X23" s="13"/>
      <c r="Y23" s="26">
        <v>65</v>
      </c>
      <c r="Z23" s="13"/>
      <c r="AA23" s="4">
        <f t="shared" si="12"/>
        <v>65</v>
      </c>
      <c r="AB23" s="4">
        <f t="shared" ref="AB23:AB28" si="16">+C23+E23+G23+I23+K23+M23+O23+Q23+S23</f>
        <v>0</v>
      </c>
      <c r="AC23" s="28">
        <f t="shared" ref="AC23:AC28" si="17">+D23+F23+H23+J23+L23+N23+P23+R23+T23</f>
        <v>24</v>
      </c>
      <c r="AD23" s="7">
        <f t="shared" ref="AD23:AD28" si="18">IF(AB23=0,0,IF((AC23/AB23)&gt;=1.2,1.2,(AC23/AB23)))</f>
        <v>0</v>
      </c>
      <c r="AE23" s="31">
        <f t="shared" si="5"/>
        <v>0</v>
      </c>
      <c r="AF23" s="2" t="s">
        <v>121</v>
      </c>
    </row>
    <row r="24" spans="2:33" s="17" customFormat="1" ht="31.5" customHeight="1" x14ac:dyDescent="0.25">
      <c r="B24" s="11" t="s">
        <v>143</v>
      </c>
      <c r="C24" s="4">
        <v>4</v>
      </c>
      <c r="D24" s="13">
        <v>5</v>
      </c>
      <c r="E24" s="4">
        <v>4</v>
      </c>
      <c r="F24" s="13">
        <v>5</v>
      </c>
      <c r="G24" s="4">
        <v>4</v>
      </c>
      <c r="H24" s="13">
        <v>3</v>
      </c>
      <c r="I24" s="4">
        <v>5</v>
      </c>
      <c r="J24" s="13">
        <v>1</v>
      </c>
      <c r="K24" s="26">
        <v>5</v>
      </c>
      <c r="L24" s="13">
        <v>3</v>
      </c>
      <c r="M24" s="26">
        <v>0</v>
      </c>
      <c r="N24" s="13">
        <v>2</v>
      </c>
      <c r="O24" s="26">
        <v>0</v>
      </c>
      <c r="P24" s="13">
        <v>1</v>
      </c>
      <c r="Q24" s="26">
        <v>0</v>
      </c>
      <c r="R24" s="13">
        <v>1</v>
      </c>
      <c r="S24" s="26">
        <v>0</v>
      </c>
      <c r="T24" s="13">
        <v>0</v>
      </c>
      <c r="U24" s="26">
        <v>0</v>
      </c>
      <c r="V24" s="13"/>
      <c r="W24" s="26">
        <v>0</v>
      </c>
      <c r="X24" s="13"/>
      <c r="Y24" s="26">
        <v>0</v>
      </c>
      <c r="Z24" s="13"/>
      <c r="AA24" s="4">
        <f t="shared" si="12"/>
        <v>22</v>
      </c>
      <c r="AB24" s="4">
        <f t="shared" si="16"/>
        <v>22</v>
      </c>
      <c r="AC24" s="28">
        <f t="shared" si="17"/>
        <v>21</v>
      </c>
      <c r="AD24" s="7">
        <f t="shared" si="18"/>
        <v>0.95454545454545459</v>
      </c>
      <c r="AE24" s="31">
        <f t="shared" si="5"/>
        <v>0.95454545454545459</v>
      </c>
      <c r="AF24" s="2" t="s">
        <v>144</v>
      </c>
    </row>
    <row r="25" spans="2:33" s="17" customFormat="1" ht="49.5" customHeight="1" x14ac:dyDescent="0.25">
      <c r="B25" s="11" t="s">
        <v>145</v>
      </c>
      <c r="C25" s="4">
        <v>0</v>
      </c>
      <c r="D25" s="13">
        <v>0</v>
      </c>
      <c r="E25" s="4">
        <v>0</v>
      </c>
      <c r="F25" s="13">
        <v>1</v>
      </c>
      <c r="G25" s="4">
        <v>0</v>
      </c>
      <c r="H25" s="13">
        <v>1</v>
      </c>
      <c r="I25" s="4">
        <v>0</v>
      </c>
      <c r="J25" s="13">
        <v>0</v>
      </c>
      <c r="K25" s="26">
        <v>0</v>
      </c>
      <c r="L25" s="13">
        <v>2</v>
      </c>
      <c r="M25" s="26">
        <v>0</v>
      </c>
      <c r="N25" s="13">
        <v>0</v>
      </c>
      <c r="O25" s="26">
        <v>0</v>
      </c>
      <c r="P25" s="13">
        <v>3</v>
      </c>
      <c r="Q25" s="26">
        <v>0</v>
      </c>
      <c r="R25" s="13">
        <v>4</v>
      </c>
      <c r="S25" s="26">
        <v>4</v>
      </c>
      <c r="T25" s="13">
        <v>1.5</v>
      </c>
      <c r="U25" s="26">
        <v>4</v>
      </c>
      <c r="V25" s="13"/>
      <c r="W25" s="26">
        <v>6</v>
      </c>
      <c r="X25" s="13"/>
      <c r="Y25" s="26">
        <v>6</v>
      </c>
      <c r="Z25" s="13"/>
      <c r="AA25" s="4">
        <f t="shared" si="12"/>
        <v>20</v>
      </c>
      <c r="AB25" s="4">
        <f t="shared" si="16"/>
        <v>4</v>
      </c>
      <c r="AC25" s="28">
        <f t="shared" si="17"/>
        <v>12.5</v>
      </c>
      <c r="AD25" s="7">
        <f t="shared" si="18"/>
        <v>1.2</v>
      </c>
      <c r="AE25" s="31">
        <f t="shared" si="5"/>
        <v>1.2</v>
      </c>
      <c r="AF25" s="2" t="s">
        <v>146</v>
      </c>
    </row>
    <row r="26" spans="2:33" s="17" customFormat="1" ht="119.25" customHeight="1" x14ac:dyDescent="0.25">
      <c r="B26" s="11" t="s">
        <v>147</v>
      </c>
      <c r="C26" s="4">
        <v>0</v>
      </c>
      <c r="D26" s="13">
        <v>0</v>
      </c>
      <c r="E26" s="4">
        <v>1</v>
      </c>
      <c r="F26" s="13">
        <v>1</v>
      </c>
      <c r="G26" s="4">
        <v>3.6</v>
      </c>
      <c r="H26" s="13">
        <v>3</v>
      </c>
      <c r="I26" s="4">
        <v>3.6</v>
      </c>
      <c r="J26" s="13">
        <v>3.3</v>
      </c>
      <c r="K26" s="26">
        <v>3.6</v>
      </c>
      <c r="L26" s="13">
        <v>0.3</v>
      </c>
      <c r="M26" s="26">
        <v>3.6</v>
      </c>
      <c r="N26" s="13">
        <v>9.1</v>
      </c>
      <c r="O26" s="26">
        <v>5.4</v>
      </c>
      <c r="P26" s="13">
        <v>14.628</v>
      </c>
      <c r="Q26" s="26">
        <v>5.4</v>
      </c>
      <c r="R26" s="13">
        <v>8.25</v>
      </c>
      <c r="S26" s="26">
        <v>5.4</v>
      </c>
      <c r="T26" s="13">
        <v>7.35</v>
      </c>
      <c r="U26" s="26">
        <v>5.4</v>
      </c>
      <c r="V26" s="13"/>
      <c r="W26" s="26">
        <v>5.4</v>
      </c>
      <c r="X26" s="13"/>
      <c r="Y26" s="26">
        <v>3.8</v>
      </c>
      <c r="Z26" s="13"/>
      <c r="AA26" s="4">
        <f t="shared" si="12"/>
        <v>46.199999999999989</v>
      </c>
      <c r="AB26" s="4">
        <f t="shared" si="16"/>
        <v>31.599999999999994</v>
      </c>
      <c r="AC26" s="28">
        <f t="shared" si="17"/>
        <v>46.928000000000004</v>
      </c>
      <c r="AD26" s="7">
        <f t="shared" si="18"/>
        <v>1.2</v>
      </c>
      <c r="AE26" s="31">
        <f t="shared" si="5"/>
        <v>1.2</v>
      </c>
      <c r="AF26" s="2" t="s">
        <v>148</v>
      </c>
    </row>
    <row r="27" spans="2:33" s="17" customFormat="1" ht="52.5" customHeight="1" x14ac:dyDescent="0.25">
      <c r="B27" s="11" t="s">
        <v>149</v>
      </c>
      <c r="C27" s="4">
        <v>0</v>
      </c>
      <c r="D27" s="13">
        <v>56.8</v>
      </c>
      <c r="E27" s="4">
        <v>0</v>
      </c>
      <c r="F27" s="13">
        <v>0</v>
      </c>
      <c r="G27" s="4">
        <v>0</v>
      </c>
      <c r="H27" s="13">
        <v>0</v>
      </c>
      <c r="I27" s="4">
        <v>77.599999999999994</v>
      </c>
      <c r="J27" s="13">
        <f>19+1.8</f>
        <v>20.8</v>
      </c>
      <c r="K27" s="26">
        <v>0</v>
      </c>
      <c r="L27" s="13">
        <v>0</v>
      </c>
      <c r="M27" s="26">
        <v>0</v>
      </c>
      <c r="N27" s="13">
        <v>0</v>
      </c>
      <c r="O27" s="26">
        <v>0</v>
      </c>
      <c r="P27" s="13">
        <v>0</v>
      </c>
      <c r="Q27" s="26">
        <v>0</v>
      </c>
      <c r="R27" s="13">
        <v>0</v>
      </c>
      <c r="S27" s="26">
        <v>0</v>
      </c>
      <c r="T27" s="13">
        <v>0</v>
      </c>
      <c r="U27" s="26">
        <v>0</v>
      </c>
      <c r="V27" s="13"/>
      <c r="W27" s="26">
        <v>0</v>
      </c>
      <c r="X27" s="13"/>
      <c r="Y27" s="26">
        <v>0</v>
      </c>
      <c r="Z27" s="13"/>
      <c r="AA27" s="4">
        <f t="shared" si="12"/>
        <v>77.599999999999994</v>
      </c>
      <c r="AB27" s="4">
        <f t="shared" si="16"/>
        <v>77.599999999999994</v>
      </c>
      <c r="AC27" s="28">
        <f t="shared" si="17"/>
        <v>77.599999999999994</v>
      </c>
      <c r="AD27" s="7">
        <f t="shared" si="18"/>
        <v>1</v>
      </c>
      <c r="AE27" s="31">
        <f t="shared" si="5"/>
        <v>1</v>
      </c>
      <c r="AF27" s="2" t="s">
        <v>150</v>
      </c>
    </row>
    <row r="28" spans="2:33" s="17" customFormat="1" ht="58.5" customHeight="1" x14ac:dyDescent="0.25">
      <c r="B28" s="11" t="s">
        <v>151</v>
      </c>
      <c r="C28" s="4">
        <v>0.17</v>
      </c>
      <c r="D28" s="13">
        <v>0.48</v>
      </c>
      <c r="E28" s="4">
        <v>0.17</v>
      </c>
      <c r="F28" s="13">
        <v>0.125</v>
      </c>
      <c r="G28" s="4">
        <v>0.17</v>
      </c>
      <c r="H28" s="13">
        <v>0</v>
      </c>
      <c r="I28" s="4">
        <v>0.17</v>
      </c>
      <c r="J28" s="13">
        <v>0.17</v>
      </c>
      <c r="K28" s="26">
        <v>0.17</v>
      </c>
      <c r="L28" s="13">
        <v>0.62</v>
      </c>
      <c r="M28" s="26">
        <v>0.17</v>
      </c>
      <c r="N28" s="13">
        <v>4.4999999999999998E-2</v>
      </c>
      <c r="O28" s="26">
        <v>0.17</v>
      </c>
      <c r="P28" s="13">
        <v>0</v>
      </c>
      <c r="Q28" s="26">
        <v>0.16500000000000001</v>
      </c>
      <c r="R28" s="13">
        <v>0</v>
      </c>
      <c r="S28" s="26">
        <v>0.16</v>
      </c>
      <c r="T28" s="13">
        <v>0</v>
      </c>
      <c r="U28" s="26">
        <v>0.16</v>
      </c>
      <c r="V28" s="13"/>
      <c r="W28" s="26">
        <v>0.16</v>
      </c>
      <c r="X28" s="13"/>
      <c r="Y28" s="26">
        <v>0.16</v>
      </c>
      <c r="Z28" s="13"/>
      <c r="AA28" s="4">
        <f t="shared" si="12"/>
        <v>1.9949999999999997</v>
      </c>
      <c r="AB28" s="4">
        <f t="shared" si="16"/>
        <v>1.5149999999999999</v>
      </c>
      <c r="AC28" s="28">
        <f t="shared" si="17"/>
        <v>1.44</v>
      </c>
      <c r="AD28" s="7">
        <f t="shared" si="18"/>
        <v>0.95049504950495056</v>
      </c>
      <c r="AE28" s="31">
        <f t="shared" si="5"/>
        <v>0.95049504950495056</v>
      </c>
      <c r="AF28" s="2" t="s">
        <v>152</v>
      </c>
    </row>
    <row r="29" spans="2:33" ht="106.5" customHeight="1" x14ac:dyDescent="0.25">
      <c r="B29" s="21" t="s">
        <v>153</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f t="shared" ref="AA29:AA30" si="19">+C29+E29+G29+I29+K29+M29+O29+Q29+S29+U29+W29+Y29</f>
        <v>0</v>
      </c>
      <c r="AB29" s="19">
        <f t="shared" ref="AB8:AB30" si="20">C29+E29+G29+I29</f>
        <v>0</v>
      </c>
      <c r="AC29" s="19">
        <f t="shared" ref="AC29:AC30" si="21">+D29+F29+H29+J29+L29+N29+P29+R29+T29+V29+X29+Z29</f>
        <v>0</v>
      </c>
      <c r="AD29" s="20">
        <f t="shared" si="3"/>
        <v>0</v>
      </c>
      <c r="AE29" s="32">
        <f t="shared" si="5"/>
        <v>0</v>
      </c>
      <c r="AF29" s="14" t="s">
        <v>154</v>
      </c>
    </row>
    <row r="30" spans="2:33" ht="100.5" customHeight="1" x14ac:dyDescent="0.25">
      <c r="B30" s="21" t="s">
        <v>73</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f t="shared" si="19"/>
        <v>0</v>
      </c>
      <c r="AB30" s="19">
        <f t="shared" si="20"/>
        <v>0</v>
      </c>
      <c r="AC30" s="19">
        <f t="shared" si="21"/>
        <v>0</v>
      </c>
      <c r="AD30" s="20">
        <f t="shared" si="3"/>
        <v>0</v>
      </c>
      <c r="AE30" s="32">
        <f t="shared" si="5"/>
        <v>0</v>
      </c>
      <c r="AF30" s="14" t="s">
        <v>155</v>
      </c>
    </row>
    <row r="31" spans="2:33" ht="100.5" customHeight="1" x14ac:dyDescent="0.25">
      <c r="B31" s="21" t="s">
        <v>68</v>
      </c>
      <c r="C31" s="4"/>
      <c r="D31" s="19"/>
      <c r="E31" s="4"/>
      <c r="F31" s="19"/>
      <c r="G31" s="4">
        <v>1</v>
      </c>
      <c r="H31" s="19">
        <v>1</v>
      </c>
      <c r="I31" s="4"/>
      <c r="J31" s="19"/>
      <c r="K31" s="4">
        <v>1</v>
      </c>
      <c r="L31" s="19">
        <v>1</v>
      </c>
      <c r="M31" s="4"/>
      <c r="N31" s="19"/>
      <c r="O31" s="4"/>
      <c r="P31" s="19"/>
      <c r="Q31" s="4"/>
      <c r="R31" s="19"/>
      <c r="S31" s="4">
        <v>1</v>
      </c>
      <c r="T31" s="19"/>
      <c r="U31" s="4">
        <v>1</v>
      </c>
      <c r="V31" s="19"/>
      <c r="W31" s="4"/>
      <c r="X31" s="19"/>
      <c r="Y31" s="4"/>
      <c r="Z31" s="19"/>
      <c r="AA31" s="19">
        <f t="shared" ref="AA31" si="22">+C31+E31+G31+I31+K31+M31+O31+Q31+S31+U31+W31+Y31</f>
        <v>4</v>
      </c>
      <c r="AB31" s="4">
        <v>2</v>
      </c>
      <c r="AC31" s="19">
        <f t="shared" ref="AC31" si="23">+D31+F31+H31+J31+L31+N31+P31+R31+T31+V31+X31+Z31</f>
        <v>2</v>
      </c>
      <c r="AD31" s="20">
        <f t="shared" ref="AD31" si="24">IF(AB31=0,0,IF((AC31/AB31)&gt;=1.2,1.2,(AC31/AB31)))</f>
        <v>1</v>
      </c>
      <c r="AE31" s="32">
        <f t="shared" ref="AE31" si="25">AD31</f>
        <v>1</v>
      </c>
      <c r="AF31" s="14" t="s">
        <v>156</v>
      </c>
    </row>
  </sheetData>
  <mergeCells count="6">
    <mergeCell ref="B1:AF1"/>
    <mergeCell ref="B2:AF2"/>
    <mergeCell ref="B3:AF3"/>
    <mergeCell ref="AD5:AE5"/>
    <mergeCell ref="AD6:AE6"/>
    <mergeCell ref="B4:AF4"/>
  </mergeCells>
  <conditionalFormatting sqref="AE31">
    <cfRule type="iconSet" priority="1">
      <iconSet iconSet="4TrafficLights">
        <cfvo type="percent" val="0"/>
        <cfvo type="num" val="0" gte="0"/>
        <cfvo type="num" val="0"/>
        <cfvo type="num" val="0" gte="0"/>
      </iconSet>
    </cfRule>
  </conditionalFormatting>
  <conditionalFormatting sqref="AE7:AE30">
    <cfRule type="iconSet" priority="31">
      <iconSet iconSet="4TrafficLights">
        <cfvo type="percent" val="0"/>
        <cfvo type="num" val="0" gte="0"/>
        <cfvo type="num" val="0"/>
        <cfvo type="num" val="0" gte="0"/>
      </iconSet>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A06B1-7B39-42CD-A61C-3468F92933E6}">
  <dimension ref="A1:AI17"/>
  <sheetViews>
    <sheetView showGridLines="0" zoomScaleNormal="100" workbookViewId="0"/>
  </sheetViews>
  <sheetFormatPr baseColWidth="10" defaultColWidth="11.42578125" defaultRowHeight="15" x14ac:dyDescent="0.25"/>
  <cols>
    <col min="1" max="1" width="6.28515625" customWidth="1"/>
    <col min="2" max="2" width="37.42578125" customWidth="1"/>
    <col min="3" max="28" width="14.140625" customWidth="1"/>
    <col min="29" max="29" width="16.28515625" customWidth="1"/>
    <col min="30" max="30" width="14" customWidth="1"/>
    <col min="31" max="31" width="2.85546875" customWidth="1"/>
    <col min="32" max="32" width="43.28515625" customWidth="1"/>
    <col min="33" max="33" width="5.42578125" customWidth="1"/>
    <col min="35" max="35" width="15" customWidth="1"/>
  </cols>
  <sheetData>
    <row r="1" spans="1:35" ht="18.75" x14ac:dyDescent="0.3">
      <c r="A1" s="8"/>
      <c r="B1" s="326" t="s">
        <v>85</v>
      </c>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row>
    <row r="2" spans="1:35" ht="18.75" x14ac:dyDescent="0.3">
      <c r="A2" s="8"/>
      <c r="B2" s="326" t="s">
        <v>86</v>
      </c>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row>
    <row r="3" spans="1:35" ht="18.75" x14ac:dyDescent="0.3">
      <c r="A3" s="8"/>
      <c r="B3" s="326" t="s">
        <v>87</v>
      </c>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row>
    <row r="4" spans="1:35" ht="18.75" x14ac:dyDescent="0.3">
      <c r="B4" s="331" t="s">
        <v>157</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row>
    <row r="5" spans="1:35" ht="72" x14ac:dyDescent="0.25">
      <c r="B5" s="1" t="s">
        <v>12</v>
      </c>
      <c r="C5" s="1" t="s">
        <v>89</v>
      </c>
      <c r="D5" s="1" t="s">
        <v>90</v>
      </c>
      <c r="E5" s="1" t="s">
        <v>91</v>
      </c>
      <c r="F5" s="1" t="s">
        <v>92</v>
      </c>
      <c r="G5" s="1" t="s">
        <v>93</v>
      </c>
      <c r="H5" s="1" t="s">
        <v>94</v>
      </c>
      <c r="I5" s="1" t="s">
        <v>95</v>
      </c>
      <c r="J5" s="1" t="s">
        <v>96</v>
      </c>
      <c r="K5" s="1" t="s">
        <v>97</v>
      </c>
      <c r="L5" s="1" t="s">
        <v>98</v>
      </c>
      <c r="M5" s="1" t="s">
        <v>99</v>
      </c>
      <c r="N5" s="1" t="s">
        <v>100</v>
      </c>
      <c r="O5" s="1" t="s">
        <v>101</v>
      </c>
      <c r="P5" s="1" t="s">
        <v>102</v>
      </c>
      <c r="Q5" s="1" t="s">
        <v>103</v>
      </c>
      <c r="R5" s="1" t="s">
        <v>104</v>
      </c>
      <c r="S5" s="1" t="s">
        <v>105</v>
      </c>
      <c r="T5" s="1" t="s">
        <v>106</v>
      </c>
      <c r="U5" s="1" t="s">
        <v>107</v>
      </c>
      <c r="V5" s="1" t="s">
        <v>108</v>
      </c>
      <c r="W5" s="1" t="s">
        <v>109</v>
      </c>
      <c r="X5" s="1" t="s">
        <v>110</v>
      </c>
      <c r="Y5" s="1" t="s">
        <v>111</v>
      </c>
      <c r="Z5" s="1" t="s">
        <v>112</v>
      </c>
      <c r="AA5" s="1" t="s">
        <v>113</v>
      </c>
      <c r="AB5" s="1" t="s">
        <v>114</v>
      </c>
      <c r="AC5" s="1" t="s">
        <v>115</v>
      </c>
      <c r="AD5" s="327" t="s">
        <v>116</v>
      </c>
      <c r="AE5" s="328"/>
      <c r="AF5" s="3" t="s">
        <v>21</v>
      </c>
    </row>
    <row r="6" spans="1:35" ht="44.25" customHeight="1" x14ac:dyDescent="0.3">
      <c r="B6" s="12" t="s">
        <v>118</v>
      </c>
      <c r="C6" s="12"/>
      <c r="D6" s="12"/>
      <c r="E6" s="12"/>
      <c r="F6" s="12"/>
      <c r="G6" s="12"/>
      <c r="H6" s="12"/>
      <c r="I6" s="12"/>
      <c r="J6" s="12"/>
      <c r="K6" s="12"/>
      <c r="L6" s="12"/>
      <c r="M6" s="12"/>
      <c r="N6" s="12"/>
      <c r="O6" s="12"/>
      <c r="P6" s="12"/>
      <c r="Q6" s="12"/>
      <c r="R6" s="12"/>
      <c r="S6" s="12"/>
      <c r="T6" s="12"/>
      <c r="U6" s="12"/>
      <c r="V6" s="12"/>
      <c r="W6" s="12"/>
      <c r="X6" s="12"/>
      <c r="Y6" s="12"/>
      <c r="Z6" s="12"/>
      <c r="AA6" s="12"/>
      <c r="AB6" s="12"/>
      <c r="AC6" s="13"/>
      <c r="AD6" s="329"/>
      <c r="AE6" s="330"/>
      <c r="AF6" s="14"/>
      <c r="AH6" s="15" t="s">
        <v>117</v>
      </c>
    </row>
    <row r="7" spans="1:35" ht="82.5" x14ac:dyDescent="0.25">
      <c r="B7" s="11" t="s">
        <v>158</v>
      </c>
      <c r="C7" s="4">
        <v>0</v>
      </c>
      <c r="D7" s="26">
        <v>0</v>
      </c>
      <c r="E7" s="4">
        <v>0</v>
      </c>
      <c r="F7" s="26">
        <v>0</v>
      </c>
      <c r="G7" s="4">
        <v>0</v>
      </c>
      <c r="H7" s="26">
        <v>0</v>
      </c>
      <c r="I7" s="4">
        <v>0</v>
      </c>
      <c r="J7" s="26">
        <v>0</v>
      </c>
      <c r="K7" s="4">
        <v>0</v>
      </c>
      <c r="L7" s="26">
        <v>0</v>
      </c>
      <c r="M7" s="4">
        <v>0</v>
      </c>
      <c r="N7" s="26">
        <v>0</v>
      </c>
      <c r="O7" s="4">
        <v>0</v>
      </c>
      <c r="P7" s="26">
        <v>0</v>
      </c>
      <c r="Q7" s="4">
        <v>0</v>
      </c>
      <c r="R7" s="26">
        <v>0</v>
      </c>
      <c r="S7" s="4">
        <v>0</v>
      </c>
      <c r="T7" s="26">
        <v>0</v>
      </c>
      <c r="U7" s="4">
        <v>0</v>
      </c>
      <c r="V7" s="26"/>
      <c r="W7" s="4">
        <v>1</v>
      </c>
      <c r="X7" s="26"/>
      <c r="Y7" s="4">
        <v>2.5</v>
      </c>
      <c r="Z7" s="26"/>
      <c r="AA7" s="4">
        <f t="shared" ref="AA7" si="0">+C7+E7+G7+I7+K7+M7+O7+Q7+S7+U7+W7+Y7</f>
        <v>3.5</v>
      </c>
      <c r="AB7" s="4">
        <f>C7+E7+G7+I7</f>
        <v>0</v>
      </c>
      <c r="AC7" s="4">
        <v>0</v>
      </c>
      <c r="AD7" s="7">
        <f>IF(AB7=0,0,IF((AC7/AB7)&gt;=1.2,1.2,(AC7/AB7)))</f>
        <v>0</v>
      </c>
      <c r="AE7" s="31">
        <f>AD7</f>
        <v>0</v>
      </c>
      <c r="AF7" s="2" t="s">
        <v>159</v>
      </c>
      <c r="AH7" s="5"/>
      <c r="AI7" t="s">
        <v>119</v>
      </c>
    </row>
    <row r="8" spans="1:35" ht="24.75" customHeight="1" x14ac:dyDescent="0.25">
      <c r="B8" s="11" t="s">
        <v>317</v>
      </c>
      <c r="C8" s="4">
        <v>0</v>
      </c>
      <c r="D8" s="26">
        <v>0</v>
      </c>
      <c r="E8" s="4">
        <v>0</v>
      </c>
      <c r="F8" s="26">
        <v>0</v>
      </c>
      <c r="G8" s="4">
        <v>0</v>
      </c>
      <c r="H8" s="26">
        <v>0</v>
      </c>
      <c r="I8" s="4">
        <v>0</v>
      </c>
      <c r="J8" s="26">
        <v>0</v>
      </c>
      <c r="K8" s="4">
        <v>0</v>
      </c>
      <c r="L8" s="26">
        <v>0</v>
      </c>
      <c r="M8" s="4">
        <v>0</v>
      </c>
      <c r="N8" s="26">
        <v>0</v>
      </c>
      <c r="O8" s="4">
        <v>0</v>
      </c>
      <c r="P8" s="26">
        <v>0</v>
      </c>
      <c r="Q8" s="4">
        <v>0</v>
      </c>
      <c r="R8" s="26">
        <v>0</v>
      </c>
      <c r="S8" s="4">
        <v>0</v>
      </c>
      <c r="T8" s="26">
        <v>0</v>
      </c>
      <c r="U8" s="4">
        <v>0</v>
      </c>
      <c r="V8" s="26"/>
      <c r="W8" s="4">
        <v>0</v>
      </c>
      <c r="X8" s="26"/>
      <c r="Y8" s="4">
        <v>2.2000000000000002</v>
      </c>
      <c r="Z8" s="26"/>
      <c r="AA8" s="4">
        <f t="shared" ref="AA8:AA9" si="1">+C8+E8+G8+I8+K8+M8+O8+Q8+S8+U8+W8+Y8</f>
        <v>2.2000000000000002</v>
      </c>
      <c r="AB8" s="4">
        <f t="shared" ref="AB8:AB9" si="2">C8+E8+G8+I8</f>
        <v>0</v>
      </c>
      <c r="AC8" s="4">
        <f t="shared" ref="AC8:AC9" si="3">+D8+F8+H8+J8+L8+N8+P8+R8+T8+V8+X8+Z8</f>
        <v>0</v>
      </c>
      <c r="AD8" s="7">
        <f t="shared" ref="AD8:AD15" si="4">IF(AB8=0,0,IF((AC8/AB8)&gt;=1.2,1.2,(AC8/AB8)))</f>
        <v>0</v>
      </c>
      <c r="AE8" s="31">
        <f t="shared" ref="AE8:AE9" si="5">AD8</f>
        <v>0</v>
      </c>
      <c r="AF8" s="2" t="s">
        <v>160</v>
      </c>
      <c r="AH8" s="35"/>
      <c r="AI8" t="s">
        <v>122</v>
      </c>
    </row>
    <row r="9" spans="1:35" ht="99" x14ac:dyDescent="0.25">
      <c r="B9" s="11" t="s">
        <v>330</v>
      </c>
      <c r="C9" s="4">
        <v>0</v>
      </c>
      <c r="D9" s="26">
        <v>0</v>
      </c>
      <c r="E9" s="4">
        <v>0</v>
      </c>
      <c r="F9" s="26">
        <v>0</v>
      </c>
      <c r="G9" s="4">
        <v>0</v>
      </c>
      <c r="H9" s="26">
        <v>0</v>
      </c>
      <c r="I9" s="4">
        <v>0</v>
      </c>
      <c r="J9" s="26">
        <v>0</v>
      </c>
      <c r="K9" s="4">
        <v>0</v>
      </c>
      <c r="L9" s="26">
        <v>0</v>
      </c>
      <c r="M9" s="4">
        <v>0</v>
      </c>
      <c r="N9" s="26">
        <v>0</v>
      </c>
      <c r="O9" s="4">
        <v>0</v>
      </c>
      <c r="P9" s="26">
        <v>0</v>
      </c>
      <c r="Q9" s="4">
        <v>0</v>
      </c>
      <c r="R9" s="26">
        <v>0</v>
      </c>
      <c r="S9" s="4">
        <v>0</v>
      </c>
      <c r="T9" s="26">
        <v>0</v>
      </c>
      <c r="U9" s="4">
        <v>0</v>
      </c>
      <c r="V9" s="26"/>
      <c r="W9" s="4">
        <v>0</v>
      </c>
      <c r="X9" s="26"/>
      <c r="Y9" s="4">
        <v>29.15</v>
      </c>
      <c r="Z9" s="26"/>
      <c r="AA9" s="4">
        <f t="shared" si="1"/>
        <v>29.15</v>
      </c>
      <c r="AB9" s="4">
        <f t="shared" si="2"/>
        <v>0</v>
      </c>
      <c r="AC9" s="4">
        <f t="shared" si="3"/>
        <v>0</v>
      </c>
      <c r="AD9" s="7">
        <f t="shared" si="4"/>
        <v>0</v>
      </c>
      <c r="AE9" s="31">
        <f t="shared" si="5"/>
        <v>0</v>
      </c>
      <c r="AF9" s="2" t="s">
        <v>161</v>
      </c>
      <c r="AH9" s="9"/>
      <c r="AI9" s="24">
        <v>0.9</v>
      </c>
    </row>
    <row r="10" spans="1:35" ht="48" customHeight="1" x14ac:dyDescent="0.25">
      <c r="B10" s="16" t="s">
        <v>162</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f>SUM(AA11:AA15)</f>
        <v>110.19</v>
      </c>
      <c r="AB10" s="13">
        <f t="shared" ref="AB10:AC10" si="6">SUM(AB11:AB15)</f>
        <v>5.16</v>
      </c>
      <c r="AC10" s="13">
        <f t="shared" si="6"/>
        <v>57.792000000000002</v>
      </c>
      <c r="AD10" s="329">
        <f t="shared" ref="AD10" si="7">IF(AB10=0,0,IF((AC10/AB10)&gt;=1.2,1.2,(AC10/AB10)))</f>
        <v>1.2</v>
      </c>
      <c r="AE10" s="330">
        <f t="shared" ref="AE10" si="8">IF(AC10=0,0,IF((AD10/AC10)&gt;=1.2,1.2,(AD10/AC10)))</f>
        <v>2.0764119601328901E-2</v>
      </c>
      <c r="AF10" s="14"/>
      <c r="AH10" s="30"/>
      <c r="AI10" s="25" t="s">
        <v>126</v>
      </c>
    </row>
    <row r="11" spans="1:35" ht="93.75" customHeight="1" x14ac:dyDescent="0.25">
      <c r="B11" s="11" t="s">
        <v>163</v>
      </c>
      <c r="C11" s="4">
        <v>0</v>
      </c>
      <c r="D11" s="26">
        <v>0</v>
      </c>
      <c r="E11" s="4">
        <v>0</v>
      </c>
      <c r="F11" s="26">
        <v>0</v>
      </c>
      <c r="G11" s="4">
        <v>0</v>
      </c>
      <c r="H11" s="26">
        <v>0</v>
      </c>
      <c r="I11" s="4">
        <v>0</v>
      </c>
      <c r="J11" s="26">
        <v>0</v>
      </c>
      <c r="K11" s="4">
        <v>0</v>
      </c>
      <c r="L11" s="26">
        <v>0</v>
      </c>
      <c r="M11" s="4">
        <v>0</v>
      </c>
      <c r="N11" s="26">
        <v>6</v>
      </c>
      <c r="O11" s="4">
        <v>0</v>
      </c>
      <c r="P11" s="26">
        <v>18</v>
      </c>
      <c r="Q11" s="4">
        <v>0</v>
      </c>
      <c r="R11" s="26">
        <f>5.5+1.8</f>
        <v>7.3</v>
      </c>
      <c r="S11" s="4">
        <v>0</v>
      </c>
      <c r="T11" s="26">
        <v>7</v>
      </c>
      <c r="U11" s="4">
        <v>0</v>
      </c>
      <c r="V11" s="26"/>
      <c r="W11" s="4">
        <v>0</v>
      </c>
      <c r="X11" s="26"/>
      <c r="Y11" s="4">
        <v>39</v>
      </c>
      <c r="Z11" s="26"/>
      <c r="AA11" s="4">
        <f t="shared" ref="AA11:AA14" si="9">+C11+E11+G11+I11+K11+M11+O11+Q11+S11+U11+W11+Y11</f>
        <v>39</v>
      </c>
      <c r="AB11" s="4">
        <f>+C11+E11+G11+I11+K11+M11+O11+O11+Q11+S11</f>
        <v>0</v>
      </c>
      <c r="AC11" s="4">
        <f>+D11+F11+H11+J11+L11+N11+P11+R11+T11</f>
        <v>38.299999999999997</v>
      </c>
      <c r="AD11" s="7">
        <f t="shared" si="4"/>
        <v>0</v>
      </c>
      <c r="AE11" s="31">
        <f>AD11</f>
        <v>0</v>
      </c>
      <c r="AF11" s="2" t="s">
        <v>164</v>
      </c>
    </row>
    <row r="12" spans="1:35" ht="104.25" customHeight="1" x14ac:dyDescent="0.25">
      <c r="B12" s="11" t="s">
        <v>165</v>
      </c>
      <c r="C12" s="4">
        <v>0</v>
      </c>
      <c r="D12" s="26">
        <v>0</v>
      </c>
      <c r="E12" s="4">
        <v>0</v>
      </c>
      <c r="F12" s="26">
        <v>0</v>
      </c>
      <c r="G12" s="4">
        <v>0</v>
      </c>
      <c r="H12" s="26">
        <v>0</v>
      </c>
      <c r="I12" s="4">
        <v>0</v>
      </c>
      <c r="J12" s="26">
        <v>0</v>
      </c>
      <c r="K12" s="4">
        <v>0</v>
      </c>
      <c r="L12" s="26">
        <v>0</v>
      </c>
      <c r="M12" s="4">
        <v>0</v>
      </c>
      <c r="N12" s="26">
        <v>0</v>
      </c>
      <c r="O12" s="4">
        <v>0</v>
      </c>
      <c r="P12" s="26">
        <v>0</v>
      </c>
      <c r="Q12" s="4">
        <v>0</v>
      </c>
      <c r="R12" s="26">
        <v>0</v>
      </c>
      <c r="S12" s="4">
        <v>0</v>
      </c>
      <c r="T12" s="26">
        <v>0</v>
      </c>
      <c r="U12" s="4">
        <v>0</v>
      </c>
      <c r="V12" s="26"/>
      <c r="W12" s="4">
        <v>0</v>
      </c>
      <c r="X12" s="26"/>
      <c r="Y12" s="4">
        <v>21.17</v>
      </c>
      <c r="Z12" s="26"/>
      <c r="AA12" s="4">
        <f t="shared" si="9"/>
        <v>21.17</v>
      </c>
      <c r="AB12" s="4">
        <f t="shared" ref="AB12:AB15" si="10">+C12+E12+G12+I12+K12+M12+O12+O12+Q12+S12</f>
        <v>0</v>
      </c>
      <c r="AC12" s="4">
        <f t="shared" ref="AC12:AC15" si="11">+D12+F12+H12+J12+L12+N12+P12+R12+T12</f>
        <v>0</v>
      </c>
      <c r="AD12" s="7">
        <f t="shared" si="4"/>
        <v>0</v>
      </c>
      <c r="AE12" s="31">
        <f t="shared" ref="AE12:AE15" si="12">AD12</f>
        <v>0</v>
      </c>
      <c r="AF12" s="2" t="s">
        <v>161</v>
      </c>
    </row>
    <row r="13" spans="1:35" ht="86.25" customHeight="1" x14ac:dyDescent="0.25">
      <c r="B13" s="11" t="s">
        <v>166</v>
      </c>
      <c r="C13" s="4">
        <v>0</v>
      </c>
      <c r="D13" s="26">
        <v>0</v>
      </c>
      <c r="E13" s="4">
        <v>0</v>
      </c>
      <c r="F13" s="26">
        <v>0</v>
      </c>
      <c r="G13" s="4">
        <v>0</v>
      </c>
      <c r="H13" s="26">
        <v>0</v>
      </c>
      <c r="I13" s="4">
        <v>0</v>
      </c>
      <c r="J13" s="26">
        <v>0</v>
      </c>
      <c r="K13" s="4">
        <v>0</v>
      </c>
      <c r="L13" s="26">
        <v>0</v>
      </c>
      <c r="M13" s="4">
        <v>0</v>
      </c>
      <c r="N13" s="26">
        <v>0</v>
      </c>
      <c r="O13" s="4">
        <v>0</v>
      </c>
      <c r="P13" s="26">
        <v>0</v>
      </c>
      <c r="Q13" s="4">
        <v>0</v>
      </c>
      <c r="R13" s="26">
        <v>0</v>
      </c>
      <c r="S13" s="4">
        <v>0</v>
      </c>
      <c r="T13" s="26">
        <v>0</v>
      </c>
      <c r="U13" s="4">
        <v>0</v>
      </c>
      <c r="V13" s="26"/>
      <c r="W13" s="4">
        <v>0</v>
      </c>
      <c r="X13" s="26"/>
      <c r="Y13" s="4">
        <v>35</v>
      </c>
      <c r="Z13" s="26"/>
      <c r="AA13" s="4">
        <f t="shared" si="9"/>
        <v>35</v>
      </c>
      <c r="AB13" s="4">
        <f t="shared" si="10"/>
        <v>0</v>
      </c>
      <c r="AC13" s="4">
        <f t="shared" si="11"/>
        <v>0</v>
      </c>
      <c r="AD13" s="7">
        <f t="shared" si="4"/>
        <v>0</v>
      </c>
      <c r="AE13" s="31">
        <f t="shared" si="12"/>
        <v>0</v>
      </c>
      <c r="AF13" s="2" t="s">
        <v>167</v>
      </c>
    </row>
    <row r="14" spans="1:35" ht="31.5" customHeight="1" x14ac:dyDescent="0.25">
      <c r="B14" s="11" t="s">
        <v>168</v>
      </c>
      <c r="C14" s="4">
        <v>0</v>
      </c>
      <c r="D14" s="26">
        <v>0</v>
      </c>
      <c r="E14" s="4">
        <v>0</v>
      </c>
      <c r="F14" s="26">
        <v>0</v>
      </c>
      <c r="G14" s="4">
        <v>0</v>
      </c>
      <c r="H14" s="26">
        <v>0</v>
      </c>
      <c r="I14" s="4">
        <v>0</v>
      </c>
      <c r="J14" s="26">
        <v>0</v>
      </c>
      <c r="K14" s="4">
        <v>0</v>
      </c>
      <c r="L14" s="26">
        <v>0</v>
      </c>
      <c r="M14" s="4">
        <v>0</v>
      </c>
      <c r="N14" s="26">
        <v>0</v>
      </c>
      <c r="O14" s="4">
        <v>0</v>
      </c>
      <c r="P14" s="26">
        <v>11.2</v>
      </c>
      <c r="Q14" s="4">
        <v>0</v>
      </c>
      <c r="R14" s="26">
        <v>0</v>
      </c>
      <c r="S14" s="4">
        <v>0</v>
      </c>
      <c r="T14" s="26">
        <v>0</v>
      </c>
      <c r="U14" s="4">
        <v>9.86</v>
      </c>
      <c r="V14" s="26"/>
      <c r="W14" s="4">
        <v>0</v>
      </c>
      <c r="X14" s="26"/>
      <c r="Y14" s="4">
        <v>0</v>
      </c>
      <c r="Z14" s="26"/>
      <c r="AA14" s="4">
        <f t="shared" si="9"/>
        <v>9.86</v>
      </c>
      <c r="AB14" s="4">
        <f t="shared" si="10"/>
        <v>0</v>
      </c>
      <c r="AC14" s="4">
        <f t="shared" si="11"/>
        <v>11.2</v>
      </c>
      <c r="AD14" s="7">
        <f t="shared" si="4"/>
        <v>0</v>
      </c>
      <c r="AE14" s="31">
        <f t="shared" si="12"/>
        <v>0</v>
      </c>
      <c r="AF14" s="2" t="s">
        <v>169</v>
      </c>
    </row>
    <row r="15" spans="1:35" ht="74.25" customHeight="1" x14ac:dyDescent="0.25">
      <c r="B15" s="11" t="s">
        <v>320</v>
      </c>
      <c r="C15" s="4">
        <v>5.16</v>
      </c>
      <c r="D15" s="26">
        <v>0</v>
      </c>
      <c r="E15" s="4">
        <v>0</v>
      </c>
      <c r="F15" s="26">
        <v>0</v>
      </c>
      <c r="G15" s="4">
        <v>0</v>
      </c>
      <c r="H15" s="26">
        <v>0</v>
      </c>
      <c r="I15" s="4">
        <v>0</v>
      </c>
      <c r="J15" s="26">
        <v>0</v>
      </c>
      <c r="K15" s="4">
        <v>0</v>
      </c>
      <c r="L15" s="26">
        <v>0</v>
      </c>
      <c r="M15" s="4">
        <v>0</v>
      </c>
      <c r="N15" s="26">
        <v>0.26200000000000001</v>
      </c>
      <c r="O15" s="4">
        <v>0</v>
      </c>
      <c r="P15" s="26">
        <v>1.53</v>
      </c>
      <c r="Q15" s="4">
        <v>0</v>
      </c>
      <c r="R15" s="26">
        <f>0.96+1.25</f>
        <v>2.21</v>
      </c>
      <c r="S15" s="4">
        <v>0</v>
      </c>
      <c r="T15" s="26">
        <v>4.29</v>
      </c>
      <c r="U15" s="4"/>
      <c r="V15" s="26"/>
      <c r="W15" s="4">
        <v>0</v>
      </c>
      <c r="X15" s="26"/>
      <c r="Y15" s="4"/>
      <c r="Z15" s="26"/>
      <c r="AA15" s="4">
        <f t="shared" ref="AA15" si="13">+C15+E15+G15+I15+K15+M15+O15+Q15+S15+U15+W15+Y15</f>
        <v>5.16</v>
      </c>
      <c r="AB15" s="4">
        <f t="shared" si="10"/>
        <v>5.16</v>
      </c>
      <c r="AC15" s="4">
        <f t="shared" si="11"/>
        <v>8.2919999999999998</v>
      </c>
      <c r="AD15" s="7">
        <f t="shared" si="4"/>
        <v>1.2</v>
      </c>
      <c r="AE15" s="31">
        <f t="shared" si="12"/>
        <v>1.2</v>
      </c>
      <c r="AF15" s="2" t="s">
        <v>170</v>
      </c>
    </row>
    <row r="17" spans="29:29" ht="16.5" x14ac:dyDescent="0.25">
      <c r="AC17" s="339"/>
    </row>
  </sheetData>
  <mergeCells count="7">
    <mergeCell ref="AD5:AE5"/>
    <mergeCell ref="AD6:AE6"/>
    <mergeCell ref="AD10:AE10"/>
    <mergeCell ref="B1:AF1"/>
    <mergeCell ref="B2:AF2"/>
    <mergeCell ref="B3:AF3"/>
    <mergeCell ref="B4:AF4"/>
  </mergeCells>
  <conditionalFormatting sqref="AE7:AE9 AE11:AE15">
    <cfRule type="iconSet" priority="1">
      <iconSet iconSet="4TrafficLights">
        <cfvo type="percent" val="0"/>
        <cfvo type="num" val="0" gte="0"/>
        <cfvo type="num" val="0"/>
        <cfvo type="num" val="0" gte="0"/>
      </iconSet>
    </cfRule>
  </conditionalFormatting>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EDB40-018F-4890-812A-697C6C7D857D}">
  <dimension ref="B4:G16"/>
  <sheetViews>
    <sheetView showGridLines="0"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48" customWidth="1"/>
  </cols>
  <sheetData>
    <row r="4" spans="2:7" x14ac:dyDescent="0.25">
      <c r="B4" s="15" t="s">
        <v>171</v>
      </c>
    </row>
    <row r="5" spans="2:7" ht="54" x14ac:dyDescent="0.25">
      <c r="B5" s="1" t="s">
        <v>12</v>
      </c>
      <c r="C5" s="1" t="s">
        <v>172</v>
      </c>
      <c r="D5" s="1" t="s">
        <v>173</v>
      </c>
      <c r="E5" s="192" t="s">
        <v>116</v>
      </c>
      <c r="F5" s="3" t="s">
        <v>21</v>
      </c>
    </row>
    <row r="6" spans="2:7" ht="61.5" customHeight="1" x14ac:dyDescent="0.3">
      <c r="B6" s="23" t="s">
        <v>52</v>
      </c>
      <c r="C6" s="19"/>
      <c r="D6" s="19"/>
      <c r="E6" s="20"/>
      <c r="F6" s="21"/>
    </row>
    <row r="7" spans="2:7" ht="64.5" customHeight="1" x14ac:dyDescent="0.25">
      <c r="B7" s="11" t="s">
        <v>174</v>
      </c>
      <c r="C7" s="4" t="s">
        <v>175</v>
      </c>
      <c r="D7" s="4">
        <v>32</v>
      </c>
      <c r="E7" s="7"/>
      <c r="F7" s="332" t="s">
        <v>176</v>
      </c>
      <c r="G7" s="22"/>
    </row>
    <row r="8" spans="2:7" ht="16.5" x14ac:dyDescent="0.25">
      <c r="B8" s="11" t="s">
        <v>177</v>
      </c>
      <c r="C8" s="4" t="s">
        <v>175</v>
      </c>
      <c r="D8" s="4">
        <v>39</v>
      </c>
      <c r="E8" s="7"/>
      <c r="F8" s="333"/>
      <c r="G8" s="22"/>
    </row>
    <row r="9" spans="2:7" ht="16.5" x14ac:dyDescent="0.25">
      <c r="B9" s="11" t="s">
        <v>178</v>
      </c>
      <c r="C9" s="4" t="s">
        <v>175</v>
      </c>
      <c r="D9" s="4">
        <v>77</v>
      </c>
      <c r="E9" s="7"/>
      <c r="F9" s="333"/>
      <c r="G9" s="22"/>
    </row>
    <row r="10" spans="2:7" ht="16.5" x14ac:dyDescent="0.25">
      <c r="B10" s="11" t="s">
        <v>179</v>
      </c>
      <c r="C10" s="4" t="s">
        <v>175</v>
      </c>
      <c r="D10" s="4">
        <v>59</v>
      </c>
      <c r="E10" s="7"/>
      <c r="F10" s="333"/>
      <c r="G10" s="22"/>
    </row>
    <row r="11" spans="2:7" ht="16.5" x14ac:dyDescent="0.25">
      <c r="B11" s="11" t="s">
        <v>180</v>
      </c>
      <c r="C11" s="4" t="s">
        <v>175</v>
      </c>
      <c r="D11" s="4">
        <v>55</v>
      </c>
      <c r="E11" s="7"/>
      <c r="F11" s="334"/>
      <c r="G11" s="22"/>
    </row>
    <row r="12" spans="2:7" ht="107.25" customHeight="1" x14ac:dyDescent="0.3">
      <c r="B12" s="23" t="s">
        <v>55</v>
      </c>
      <c r="C12" s="19">
        <v>0</v>
      </c>
      <c r="D12" s="19">
        <v>0</v>
      </c>
      <c r="E12" s="20">
        <v>0</v>
      </c>
      <c r="F12" s="21" t="s">
        <v>181</v>
      </c>
      <c r="G12" s="22"/>
    </row>
    <row r="16" spans="2:7" x14ac:dyDescent="0.25">
      <c r="F16" s="38"/>
    </row>
  </sheetData>
  <mergeCells count="1">
    <mergeCell ref="F7:F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76B6-8BC6-4355-A2DA-82BDFFC95155}">
  <dimension ref="B4:H16"/>
  <sheetViews>
    <sheetView showGridLines="0"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3" customWidth="1"/>
    <col min="7" max="7" width="43.28515625" customWidth="1"/>
  </cols>
  <sheetData>
    <row r="4" spans="2:8" x14ac:dyDescent="0.25">
      <c r="B4" s="15" t="s">
        <v>182</v>
      </c>
    </row>
    <row r="5" spans="2:8" ht="54" x14ac:dyDescent="0.25">
      <c r="B5" s="1" t="s">
        <v>12</v>
      </c>
      <c r="C5" s="1" t="s">
        <v>183</v>
      </c>
      <c r="D5" s="1" t="s">
        <v>115</v>
      </c>
      <c r="E5" s="327" t="s">
        <v>116</v>
      </c>
      <c r="F5" s="328"/>
      <c r="G5" s="3" t="s">
        <v>21</v>
      </c>
    </row>
    <row r="6" spans="2:8" ht="87" customHeight="1" x14ac:dyDescent="0.3">
      <c r="B6" s="23" t="s">
        <v>24</v>
      </c>
      <c r="C6" s="19">
        <v>0</v>
      </c>
      <c r="D6" s="19">
        <v>0</v>
      </c>
      <c r="E6" s="20">
        <f>IF(C6=0,0,IF((D6/C6)&gt;=1.2,1.2,(D6/C6)))</f>
        <v>0</v>
      </c>
      <c r="F6" s="37">
        <f>E6</f>
        <v>0</v>
      </c>
      <c r="G6" s="21" t="s">
        <v>184</v>
      </c>
    </row>
    <row r="7" spans="2:8" ht="48" customHeight="1" x14ac:dyDescent="0.3">
      <c r="B7" s="10" t="s">
        <v>185</v>
      </c>
      <c r="C7" s="4">
        <v>0</v>
      </c>
      <c r="D7" s="4">
        <v>0</v>
      </c>
      <c r="E7" s="7">
        <f t="shared" ref="E7:E16" si="0">IF(C7=0,0,IF((D7/C7)&gt;=1.2,1.2,(D7/C7)))</f>
        <v>0</v>
      </c>
      <c r="F7" s="31">
        <f>E7</f>
        <v>0</v>
      </c>
      <c r="G7" s="2"/>
    </row>
    <row r="8" spans="2:8" ht="33" x14ac:dyDescent="0.3">
      <c r="B8" s="10" t="s">
        <v>186</v>
      </c>
      <c r="C8" s="4">
        <v>0</v>
      </c>
      <c r="D8" s="4">
        <v>0</v>
      </c>
      <c r="E8" s="7">
        <f t="shared" si="0"/>
        <v>0</v>
      </c>
      <c r="F8" s="31">
        <f>E8</f>
        <v>0</v>
      </c>
      <c r="G8" s="2"/>
    </row>
    <row r="9" spans="2:8" ht="87" customHeight="1" x14ac:dyDescent="0.3">
      <c r="B9" s="10" t="s">
        <v>187</v>
      </c>
      <c r="C9" s="4">
        <v>0</v>
      </c>
      <c r="D9" s="4">
        <v>0</v>
      </c>
      <c r="E9" s="7">
        <f t="shared" si="0"/>
        <v>0</v>
      </c>
      <c r="F9" s="31">
        <f t="shared" ref="F9:F16" si="1">E9</f>
        <v>0</v>
      </c>
      <c r="G9" s="2"/>
    </row>
    <row r="10" spans="2:8" ht="49.5" x14ac:dyDescent="0.3">
      <c r="B10" s="10" t="s">
        <v>188</v>
      </c>
      <c r="C10" s="4">
        <v>0</v>
      </c>
      <c r="D10" s="4">
        <v>0</v>
      </c>
      <c r="E10" s="7">
        <f t="shared" si="0"/>
        <v>0</v>
      </c>
      <c r="F10" s="31">
        <f t="shared" si="1"/>
        <v>0</v>
      </c>
      <c r="G10" s="2"/>
    </row>
    <row r="11" spans="2:8" ht="49.5" x14ac:dyDescent="0.3">
      <c r="B11" s="10" t="s">
        <v>189</v>
      </c>
      <c r="C11" s="4">
        <v>0</v>
      </c>
      <c r="D11" s="4">
        <v>0</v>
      </c>
      <c r="E11" s="7">
        <f t="shared" si="0"/>
        <v>0</v>
      </c>
      <c r="F11" s="31">
        <f t="shared" si="1"/>
        <v>0</v>
      </c>
      <c r="G11" s="2"/>
    </row>
    <row r="12" spans="2:8" ht="66" x14ac:dyDescent="0.3">
      <c r="B12" s="10" t="s">
        <v>190</v>
      </c>
      <c r="C12" s="4">
        <v>0</v>
      </c>
      <c r="D12" s="4">
        <v>0</v>
      </c>
      <c r="E12" s="7">
        <f t="shared" si="0"/>
        <v>0</v>
      </c>
      <c r="F12" s="31">
        <f t="shared" si="1"/>
        <v>0</v>
      </c>
      <c r="G12" s="2"/>
    </row>
    <row r="13" spans="2:8" ht="49.5" x14ac:dyDescent="0.3">
      <c r="B13" s="10" t="s">
        <v>191</v>
      </c>
      <c r="C13" s="4">
        <v>0</v>
      </c>
      <c r="D13" s="4">
        <v>0</v>
      </c>
      <c r="E13" s="7">
        <f t="shared" si="0"/>
        <v>0</v>
      </c>
      <c r="F13" s="31">
        <f t="shared" si="1"/>
        <v>0</v>
      </c>
      <c r="G13" s="2"/>
    </row>
    <row r="14" spans="2:8" ht="49.5" x14ac:dyDescent="0.3">
      <c r="B14" s="10" t="s">
        <v>192</v>
      </c>
      <c r="C14" s="4">
        <v>0</v>
      </c>
      <c r="D14" s="4">
        <v>0</v>
      </c>
      <c r="E14" s="7">
        <f t="shared" si="0"/>
        <v>0</v>
      </c>
      <c r="F14" s="31">
        <f t="shared" si="1"/>
        <v>0</v>
      </c>
      <c r="G14" s="2"/>
    </row>
    <row r="15" spans="2:8" ht="49.5" x14ac:dyDescent="0.3">
      <c r="B15" s="10" t="s">
        <v>193</v>
      </c>
      <c r="C15" s="4">
        <v>0</v>
      </c>
      <c r="D15" s="4">
        <v>0</v>
      </c>
      <c r="E15" s="7">
        <f t="shared" si="0"/>
        <v>0</v>
      </c>
      <c r="F15" s="31">
        <f t="shared" si="1"/>
        <v>0</v>
      </c>
      <c r="G15" s="2"/>
    </row>
    <row r="16" spans="2:8" ht="79.5" customHeight="1" x14ac:dyDescent="0.3">
      <c r="B16" s="23" t="s">
        <v>194</v>
      </c>
      <c r="C16" s="19">
        <v>0</v>
      </c>
      <c r="D16" s="19">
        <v>0</v>
      </c>
      <c r="E16" s="20">
        <f t="shared" si="0"/>
        <v>0</v>
      </c>
      <c r="F16" s="32">
        <f t="shared" si="1"/>
        <v>0</v>
      </c>
      <c r="G16" s="21" t="s">
        <v>195</v>
      </c>
      <c r="H16" s="22"/>
    </row>
  </sheetData>
  <mergeCells count="1">
    <mergeCell ref="E5:F5"/>
  </mergeCells>
  <conditionalFormatting sqref="F6:F16">
    <cfRule type="iconSet" priority="1">
      <iconSet iconSet="4TrafficLights">
        <cfvo type="percent" val="0"/>
        <cfvo type="num" val="1"/>
        <cfvo type="num" val="70"/>
        <cfvo type="num" val="90"/>
      </iconSet>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14A7-CAF6-4BBF-9F2B-92B4B344A3B8}">
  <dimension ref="B4:P11"/>
  <sheetViews>
    <sheetView showGridLines="0" topLeftCell="A4" workbookViewId="0">
      <selection activeCell="X36" sqref="X36"/>
    </sheetView>
  </sheetViews>
  <sheetFormatPr baseColWidth="10" defaultColWidth="11.42578125" defaultRowHeight="15" x14ac:dyDescent="0.25"/>
  <cols>
    <col min="1" max="1" width="6.28515625" customWidth="1"/>
    <col min="2" max="2" width="37.42578125" customWidth="1"/>
    <col min="3" max="10" width="15.140625" customWidth="1"/>
    <col min="11" max="12" width="16.28515625" customWidth="1"/>
    <col min="13" max="13" width="14" customWidth="1"/>
    <col min="14" max="14" width="4" customWidth="1"/>
    <col min="15" max="15" width="43.28515625" customWidth="1"/>
  </cols>
  <sheetData>
    <row r="4" spans="2:16" x14ac:dyDescent="0.25">
      <c r="B4" s="15" t="s">
        <v>196</v>
      </c>
      <c r="C4" s="15"/>
      <c r="D4" s="15"/>
      <c r="E4" s="15"/>
      <c r="F4" s="15"/>
      <c r="G4" s="15"/>
      <c r="H4" s="15"/>
      <c r="I4" s="15"/>
      <c r="J4" s="15"/>
    </row>
    <row r="5" spans="2:16" ht="54" x14ac:dyDescent="0.25">
      <c r="B5" s="1" t="s">
        <v>12</v>
      </c>
      <c r="C5" s="1" t="s">
        <v>89</v>
      </c>
      <c r="D5" s="1" t="s">
        <v>90</v>
      </c>
      <c r="E5" s="1" t="s">
        <v>91</v>
      </c>
      <c r="F5" s="1" t="s">
        <v>92</v>
      </c>
      <c r="G5" s="1" t="s">
        <v>93</v>
      </c>
      <c r="H5" s="1" t="s">
        <v>94</v>
      </c>
      <c r="I5" s="1" t="s">
        <v>95</v>
      </c>
      <c r="J5" s="1" t="s">
        <v>96</v>
      </c>
      <c r="K5" s="1" t="s">
        <v>183</v>
      </c>
      <c r="L5" s="1" t="s">
        <v>115</v>
      </c>
      <c r="M5" s="327" t="s">
        <v>116</v>
      </c>
      <c r="N5" s="328"/>
      <c r="O5" s="3" t="s">
        <v>21</v>
      </c>
    </row>
    <row r="6" spans="2:16" ht="49.5" x14ac:dyDescent="0.3">
      <c r="B6" s="23" t="s">
        <v>197</v>
      </c>
      <c r="C6" s="23"/>
      <c r="D6" s="23"/>
      <c r="E6" s="23"/>
      <c r="F6" s="23"/>
      <c r="G6" s="23"/>
      <c r="H6" s="23"/>
      <c r="I6" s="23"/>
      <c r="J6" s="23"/>
      <c r="K6" s="19"/>
      <c r="L6" s="19"/>
      <c r="M6" s="33"/>
      <c r="N6" s="33"/>
      <c r="O6" s="21"/>
    </row>
    <row r="7" spans="2:16" ht="207" customHeight="1" x14ac:dyDescent="0.25">
      <c r="B7" s="11" t="s">
        <v>198</v>
      </c>
      <c r="C7" s="4">
        <v>0</v>
      </c>
      <c r="D7" s="13">
        <v>0</v>
      </c>
      <c r="E7" s="4">
        <v>0</v>
      </c>
      <c r="F7" s="13">
        <v>0</v>
      </c>
      <c r="G7" s="4">
        <v>1</v>
      </c>
      <c r="H7" s="13">
        <v>1</v>
      </c>
      <c r="I7" s="4">
        <v>1</v>
      </c>
      <c r="J7" s="13">
        <v>1</v>
      </c>
      <c r="K7" s="4">
        <f t="shared" ref="K7:L11" si="0">+C7+E7+G7+I7</f>
        <v>2</v>
      </c>
      <c r="L7" s="4">
        <v>2</v>
      </c>
      <c r="M7" s="6">
        <f>IF(K7=0,0,IF((L7/K7)&gt;=1.2,1.2,(L7/K7)))</f>
        <v>1</v>
      </c>
      <c r="N7" s="34">
        <f>M7</f>
        <v>1</v>
      </c>
      <c r="O7" s="2" t="s">
        <v>199</v>
      </c>
      <c r="P7" s="22"/>
    </row>
    <row r="8" spans="2:16" ht="116.25" customHeight="1" x14ac:dyDescent="0.25">
      <c r="B8" s="11" t="s">
        <v>200</v>
      </c>
      <c r="C8" s="4">
        <v>0</v>
      </c>
      <c r="D8" s="13">
        <v>0</v>
      </c>
      <c r="E8" s="4">
        <v>1</v>
      </c>
      <c r="F8" s="13">
        <v>1</v>
      </c>
      <c r="G8" s="4">
        <v>1</v>
      </c>
      <c r="H8" s="13">
        <v>1</v>
      </c>
      <c r="I8" s="4">
        <v>5</v>
      </c>
      <c r="J8" s="13">
        <v>4</v>
      </c>
      <c r="K8" s="4">
        <f t="shared" si="0"/>
        <v>7</v>
      </c>
      <c r="L8" s="4">
        <f t="shared" si="0"/>
        <v>6</v>
      </c>
      <c r="M8" s="7">
        <f t="shared" ref="M8:M11" si="1">IF(K8=0,0,IF((L8/K8)&gt;=1.2,1.2,(L8/K8)))</f>
        <v>0.8571428571428571</v>
      </c>
      <c r="N8" s="34">
        <f t="shared" ref="N8:N11" si="2">M8</f>
        <v>0.8571428571428571</v>
      </c>
      <c r="O8" s="2" t="s">
        <v>201</v>
      </c>
      <c r="P8" s="22"/>
    </row>
    <row r="9" spans="2:16" ht="165" x14ac:dyDescent="0.25">
      <c r="B9" s="11" t="s">
        <v>202</v>
      </c>
      <c r="C9" s="4">
        <v>1</v>
      </c>
      <c r="D9" s="13">
        <v>1</v>
      </c>
      <c r="E9" s="4">
        <v>1</v>
      </c>
      <c r="F9" s="13">
        <v>1</v>
      </c>
      <c r="G9" s="4">
        <v>1</v>
      </c>
      <c r="H9" s="13">
        <v>0</v>
      </c>
      <c r="I9" s="4">
        <v>0</v>
      </c>
      <c r="J9" s="13">
        <v>0</v>
      </c>
      <c r="K9" s="4">
        <f t="shared" si="0"/>
        <v>3</v>
      </c>
      <c r="L9" s="4">
        <f t="shared" si="0"/>
        <v>2</v>
      </c>
      <c r="M9" s="7">
        <f t="shared" si="1"/>
        <v>0.66666666666666663</v>
      </c>
      <c r="N9" s="34">
        <f t="shared" si="2"/>
        <v>0.66666666666666663</v>
      </c>
      <c r="O9" s="2" t="s">
        <v>203</v>
      </c>
      <c r="P9" s="22"/>
    </row>
    <row r="10" spans="2:16" ht="198.75" customHeight="1" x14ac:dyDescent="0.25">
      <c r="B10" s="11" t="s">
        <v>204</v>
      </c>
      <c r="C10" s="4">
        <v>7</v>
      </c>
      <c r="D10" s="13">
        <v>7</v>
      </c>
      <c r="E10" s="4">
        <v>0</v>
      </c>
      <c r="F10" s="13">
        <v>0</v>
      </c>
      <c r="G10" s="4">
        <v>4</v>
      </c>
      <c r="H10" s="13">
        <v>2</v>
      </c>
      <c r="I10" s="4">
        <v>0</v>
      </c>
      <c r="J10" s="13">
        <v>0</v>
      </c>
      <c r="K10" s="4">
        <f t="shared" si="0"/>
        <v>11</v>
      </c>
      <c r="L10" s="4">
        <f t="shared" si="0"/>
        <v>9</v>
      </c>
      <c r="M10" s="7">
        <f t="shared" si="1"/>
        <v>0.81818181818181823</v>
      </c>
      <c r="N10" s="34">
        <f t="shared" si="2"/>
        <v>0.81818181818181823</v>
      </c>
      <c r="O10" s="2" t="s">
        <v>205</v>
      </c>
      <c r="P10" s="22"/>
    </row>
    <row r="11" spans="2:16" ht="74.25" customHeight="1" x14ac:dyDescent="0.3">
      <c r="B11" s="23" t="s">
        <v>43</v>
      </c>
      <c r="C11" s="27"/>
      <c r="D11" s="27"/>
      <c r="E11" s="27"/>
      <c r="F11" s="27"/>
      <c r="G11" s="27"/>
      <c r="H11" s="27"/>
      <c r="I11" s="27"/>
      <c r="J11" s="27"/>
      <c r="K11" s="19">
        <f t="shared" si="0"/>
        <v>0</v>
      </c>
      <c r="L11" s="19">
        <f t="shared" si="0"/>
        <v>0</v>
      </c>
      <c r="M11" s="20">
        <f t="shared" si="1"/>
        <v>0</v>
      </c>
      <c r="N11" s="36">
        <f t="shared" si="2"/>
        <v>0</v>
      </c>
      <c r="O11" s="21" t="s">
        <v>206</v>
      </c>
      <c r="P11" s="22"/>
    </row>
  </sheetData>
  <mergeCells count="1">
    <mergeCell ref="M5:N5"/>
  </mergeCells>
  <conditionalFormatting sqref="N7:N11">
    <cfRule type="iconSet" priority="1">
      <iconSet iconSet="4TrafficLights">
        <cfvo type="percent" val="0"/>
        <cfvo type="percent" val="25" gte="0"/>
        <cfvo type="percent" val="50"/>
        <cfvo type="percent" val="75" gte="0"/>
      </iconSet>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2EBF5-A4F5-4434-AD0D-1E608BD43749}">
  <dimension ref="B4:G7"/>
  <sheetViews>
    <sheetView showGridLines="0"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55.7109375" customWidth="1"/>
  </cols>
  <sheetData>
    <row r="4" spans="2:7" x14ac:dyDescent="0.25">
      <c r="B4" s="15" t="s">
        <v>207</v>
      </c>
    </row>
    <row r="5" spans="2:7" ht="54" x14ac:dyDescent="0.25">
      <c r="B5" s="1" t="s">
        <v>12</v>
      </c>
      <c r="C5" s="1" t="s">
        <v>183</v>
      </c>
      <c r="D5" s="1" t="s">
        <v>115</v>
      </c>
      <c r="E5" s="192" t="s">
        <v>116</v>
      </c>
      <c r="F5" s="3" t="s">
        <v>21</v>
      </c>
    </row>
    <row r="6" spans="2:7" ht="146.25" customHeight="1" x14ac:dyDescent="0.3">
      <c r="B6" s="10" t="s">
        <v>37</v>
      </c>
      <c r="C6" s="4">
        <v>20</v>
      </c>
      <c r="D6" s="4">
        <v>20</v>
      </c>
      <c r="E6" s="7">
        <f>D6/C6</f>
        <v>1</v>
      </c>
      <c r="F6" s="2" t="s">
        <v>208</v>
      </c>
    </row>
    <row r="7" spans="2:7" ht="233.25" customHeight="1" x14ac:dyDescent="0.25">
      <c r="B7" s="11" t="s">
        <v>45</v>
      </c>
      <c r="C7" s="4">
        <v>33</v>
      </c>
      <c r="D7" s="4">
        <v>30</v>
      </c>
      <c r="E7" s="7">
        <f>D7/C7</f>
        <v>0.90909090909090906</v>
      </c>
      <c r="F7" s="2" t="s">
        <v>209</v>
      </c>
      <c r="G7" s="2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C7F1A-93C9-41B3-B0B8-60B3763BF230}">
  <dimension ref="B4:R22"/>
  <sheetViews>
    <sheetView topLeftCell="G12" workbookViewId="0">
      <selection activeCell="B18" sqref="B18"/>
    </sheetView>
  </sheetViews>
  <sheetFormatPr baseColWidth="10" defaultColWidth="11.42578125" defaultRowHeight="15" x14ac:dyDescent="0.25"/>
  <cols>
    <col min="2" max="2" width="43.42578125" customWidth="1"/>
    <col min="7" max="7" width="13" bestFit="1" customWidth="1"/>
    <col min="8" max="8" width="11.7109375" customWidth="1"/>
    <col min="9" max="9" width="12" customWidth="1"/>
    <col min="12" max="12" width="45.140625" customWidth="1"/>
    <col min="13" max="17" width="19.140625" customWidth="1"/>
    <col min="18" max="18" width="57.5703125" customWidth="1"/>
  </cols>
  <sheetData>
    <row r="4" spans="2:18" ht="15.75" thickBot="1" x14ac:dyDescent="0.3"/>
    <row r="5" spans="2:18" ht="30.75" thickBot="1" x14ac:dyDescent="0.3">
      <c r="B5" s="40" t="s">
        <v>12</v>
      </c>
      <c r="C5" s="41" t="s">
        <v>210</v>
      </c>
      <c r="D5" s="41" t="s">
        <v>211</v>
      </c>
      <c r="E5" s="41" t="s">
        <v>95</v>
      </c>
      <c r="F5" s="41" t="s">
        <v>212</v>
      </c>
      <c r="G5" s="41" t="s">
        <v>213</v>
      </c>
      <c r="H5" s="41" t="s">
        <v>214</v>
      </c>
    </row>
    <row r="6" spans="2:18" ht="30" thickTop="1" thickBot="1" x14ac:dyDescent="0.3">
      <c r="B6" s="43" t="s">
        <v>65</v>
      </c>
      <c r="C6" s="44">
        <v>657</v>
      </c>
      <c r="D6" s="44">
        <v>229</v>
      </c>
      <c r="E6" s="44">
        <v>229</v>
      </c>
      <c r="F6" s="44">
        <v>229</v>
      </c>
      <c r="G6" s="45">
        <f>+F6/E6</f>
        <v>1</v>
      </c>
      <c r="H6" s="45">
        <f>+F6/D6</f>
        <v>1</v>
      </c>
    </row>
    <row r="7" spans="2:18" ht="29.25" thickBot="1" x14ac:dyDescent="0.3">
      <c r="B7" s="50" t="s">
        <v>215</v>
      </c>
      <c r="C7" s="51">
        <v>225.62</v>
      </c>
      <c r="D7" s="51">
        <v>44.81</v>
      </c>
      <c r="E7" s="51">
        <v>0</v>
      </c>
      <c r="F7" s="51">
        <v>0</v>
      </c>
      <c r="G7" s="52">
        <v>0</v>
      </c>
      <c r="H7" s="52">
        <v>0</v>
      </c>
    </row>
    <row r="8" spans="2:18" ht="29.25" thickBot="1" x14ac:dyDescent="0.3">
      <c r="B8" s="57" t="s">
        <v>216</v>
      </c>
      <c r="C8" s="58">
        <v>619.74</v>
      </c>
      <c r="D8" s="58">
        <v>198.3</v>
      </c>
      <c r="E8" s="58">
        <v>5.16</v>
      </c>
      <c r="F8" s="58">
        <v>1.24</v>
      </c>
      <c r="G8" s="65">
        <f>+F8/E8</f>
        <v>0.24031007751937983</v>
      </c>
      <c r="H8" s="65">
        <f>+F8/D8</f>
        <v>6.2531517902168427E-3</v>
      </c>
    </row>
    <row r="9" spans="2:18" ht="15.75" thickBot="1" x14ac:dyDescent="0.3">
      <c r="L9" s="66" t="s">
        <v>217</v>
      </c>
    </row>
    <row r="10" spans="2:18" ht="48.75" thickBot="1" x14ac:dyDescent="0.3">
      <c r="L10" s="42" t="s">
        <v>218</v>
      </c>
      <c r="M10" s="42" t="s">
        <v>219</v>
      </c>
      <c r="N10" s="42" t="s">
        <v>95</v>
      </c>
      <c r="O10" s="42" t="s">
        <v>96</v>
      </c>
      <c r="P10" s="42" t="s">
        <v>213</v>
      </c>
      <c r="Q10" s="42" t="s">
        <v>214</v>
      </c>
      <c r="R10" s="42" t="s">
        <v>220</v>
      </c>
    </row>
    <row r="11" spans="2:18" ht="91.5" thickTop="1" thickBot="1" x14ac:dyDescent="0.3">
      <c r="L11" s="67" t="s">
        <v>221</v>
      </c>
      <c r="M11" s="47">
        <v>3.5</v>
      </c>
      <c r="N11" s="47">
        <v>0</v>
      </c>
      <c r="O11" s="47">
        <v>0</v>
      </c>
      <c r="P11" s="48">
        <v>0</v>
      </c>
      <c r="Q11" s="48">
        <v>0</v>
      </c>
      <c r="R11" s="49" t="s">
        <v>222</v>
      </c>
    </row>
    <row r="12" spans="2:18" ht="54.75" thickBot="1" x14ac:dyDescent="0.3">
      <c r="L12" s="68" t="s">
        <v>223</v>
      </c>
      <c r="M12" s="54">
        <v>2.38</v>
      </c>
      <c r="N12" s="54">
        <v>0</v>
      </c>
      <c r="O12" s="54">
        <v>0</v>
      </c>
      <c r="P12" s="55">
        <v>0</v>
      </c>
      <c r="Q12" s="55">
        <v>0</v>
      </c>
      <c r="R12" s="56" t="s">
        <v>224</v>
      </c>
    </row>
    <row r="13" spans="2:18" ht="54.75" thickBot="1" x14ac:dyDescent="0.3">
      <c r="L13" s="69" t="s">
        <v>225</v>
      </c>
      <c r="M13" s="60">
        <v>38.93</v>
      </c>
      <c r="N13" s="60">
        <v>0</v>
      </c>
      <c r="O13" s="60">
        <v>0</v>
      </c>
      <c r="P13" s="61">
        <v>0</v>
      </c>
      <c r="Q13" s="61">
        <v>0</v>
      </c>
      <c r="R13" s="62" t="s">
        <v>224</v>
      </c>
    </row>
    <row r="16" spans="2:18" ht="15.75" thickBot="1" x14ac:dyDescent="0.3">
      <c r="L16" s="71" t="s">
        <v>216</v>
      </c>
    </row>
    <row r="17" spans="12:18" ht="48.75" thickBot="1" x14ac:dyDescent="0.3">
      <c r="L17" s="42" t="s">
        <v>218</v>
      </c>
      <c r="M17" s="42" t="s">
        <v>219</v>
      </c>
      <c r="N17" s="42" t="s">
        <v>95</v>
      </c>
      <c r="O17" s="42" t="s">
        <v>96</v>
      </c>
      <c r="P17" s="42" t="s">
        <v>213</v>
      </c>
      <c r="Q17" s="42" t="s">
        <v>214</v>
      </c>
      <c r="R17" s="42" t="s">
        <v>220</v>
      </c>
    </row>
    <row r="18" spans="12:18" ht="62.25" customHeight="1" thickTop="1" thickBot="1" x14ac:dyDescent="0.3">
      <c r="L18" s="72" t="s">
        <v>226</v>
      </c>
      <c r="M18" s="47">
        <v>39</v>
      </c>
      <c r="N18" s="47">
        <v>0</v>
      </c>
      <c r="O18" s="47">
        <v>0</v>
      </c>
      <c r="P18" s="48">
        <v>0</v>
      </c>
      <c r="Q18" s="48">
        <v>0</v>
      </c>
      <c r="R18" s="335" t="s">
        <v>227</v>
      </c>
    </row>
    <row r="19" spans="12:18" ht="24" thickBot="1" x14ac:dyDescent="0.3">
      <c r="L19" s="73" t="s">
        <v>228</v>
      </c>
      <c r="M19" s="54">
        <v>21.17</v>
      </c>
      <c r="N19" s="54">
        <v>0</v>
      </c>
      <c r="O19" s="54">
        <v>0</v>
      </c>
      <c r="P19" s="55">
        <v>0</v>
      </c>
      <c r="Q19" s="55">
        <v>0</v>
      </c>
      <c r="R19" s="336"/>
    </row>
    <row r="20" spans="12:18" ht="24" thickBot="1" x14ac:dyDescent="0.3">
      <c r="L20" s="74" t="s">
        <v>229</v>
      </c>
      <c r="M20" s="60">
        <v>35</v>
      </c>
      <c r="N20" s="60">
        <v>0</v>
      </c>
      <c r="O20" s="60">
        <v>0</v>
      </c>
      <c r="P20" s="61">
        <v>0</v>
      </c>
      <c r="Q20" s="61">
        <v>0</v>
      </c>
      <c r="R20" s="336"/>
    </row>
    <row r="21" spans="12:18" ht="24" thickBot="1" x14ac:dyDescent="0.3">
      <c r="L21" s="73" t="s">
        <v>230</v>
      </c>
      <c r="M21" s="54">
        <v>9.86</v>
      </c>
      <c r="N21" s="54">
        <v>0</v>
      </c>
      <c r="O21" s="54">
        <v>0</v>
      </c>
      <c r="P21" s="55">
        <v>0</v>
      </c>
      <c r="Q21" s="55">
        <v>0</v>
      </c>
      <c r="R21" s="336"/>
    </row>
    <row r="22" spans="12:18" ht="195.75" customHeight="1" thickBot="1" x14ac:dyDescent="0.3">
      <c r="L22" s="74" t="s">
        <v>231</v>
      </c>
      <c r="M22" s="60">
        <v>93.3</v>
      </c>
      <c r="N22" s="60">
        <v>5.16</v>
      </c>
      <c r="O22" s="60">
        <v>1.24</v>
      </c>
      <c r="P22" s="61">
        <f>+O22/N22</f>
        <v>0.24031007751937983</v>
      </c>
      <c r="Q22" s="61">
        <f>+O22/M22</f>
        <v>1.3290460878885316E-2</v>
      </c>
      <c r="R22" s="75" t="s">
        <v>232</v>
      </c>
    </row>
  </sheetData>
  <mergeCells count="1">
    <mergeCell ref="R18:R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Tablero</vt:lpstr>
      <vt:lpstr>gráficas</vt:lpstr>
      <vt:lpstr>VGC</vt:lpstr>
      <vt:lpstr>Ejecutiva</vt:lpstr>
      <vt:lpstr>Estructuración</vt:lpstr>
      <vt:lpstr>VAF</vt:lpstr>
      <vt:lpstr>VPRE</vt:lpstr>
      <vt:lpstr>Comunicaciones</vt:lpstr>
      <vt:lpstr>Ejecutiva resumen</vt:lpstr>
      <vt:lpstr>vgc resumen</vt:lpstr>
      <vt:lpstr>Esquema</vt:lpstr>
      <vt:lpstr>Vgc previo</vt:lpstr>
      <vt:lpstr>gráficas!Área_de_impresión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Nohora Isabel Vargas Castro</dc:creator>
  <cp:keywords/>
  <dc:description/>
  <cp:lastModifiedBy>Ricardo Aguilera Wilches</cp:lastModifiedBy>
  <cp:revision/>
  <dcterms:created xsi:type="dcterms:W3CDTF">2019-03-18T17:12:13Z</dcterms:created>
  <dcterms:modified xsi:type="dcterms:W3CDTF">2019-10-30T21:57:48Z</dcterms:modified>
  <cp:category/>
  <cp:contentStatus/>
</cp:coreProperties>
</file>