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raguilera\Documents\Plan de Acción\2018\WEB\"/>
    </mc:Choice>
  </mc:AlternateContent>
  <xr:revisionPtr revIDLastSave="0" documentId="10_ncr:100000_{46EA20E6-036A-4600-8613-70B061A7BB41}" xr6:coauthVersionLast="31" xr6:coauthVersionMax="31" xr10:uidLastSave="{00000000-0000-0000-0000-000000000000}"/>
  <bookViews>
    <workbookView xWindow="0" yWindow="0" windowWidth="28800" windowHeight="12210" firstSheet="1" activeTab="7" xr2:uid="{00000000-000D-0000-FFFF-FFFF00000000}"/>
  </bookViews>
  <sheets>
    <sheet name="VIGENCIA 2010" sheetId="16" r:id="rId1"/>
    <sheet name="VIGENCIA 2011" sheetId="1" r:id="rId2"/>
    <sheet name="VIGENCIA 2012" sheetId="3" r:id="rId3"/>
    <sheet name="VIGENCIA 2013" sheetId="9" r:id="rId4"/>
    <sheet name="VIGENCIA 2014" sheetId="10" r:id="rId5"/>
    <sheet name="VIGENCIA 2015 " sheetId="8" r:id="rId6"/>
    <sheet name="VIGENCIA 2016" sheetId="14" r:id="rId7"/>
    <sheet name="VIGENCIA 2017" sheetId="13" r:id="rId8"/>
  </sheets>
  <externalReferences>
    <externalReference r:id="rId9"/>
  </externalReferences>
  <definedNames>
    <definedName name="_xlnm._FilterDatabase" localSheetId="1" hidden="1">'VIGENCIA 2011'!$A$8:$P$152</definedName>
    <definedName name="_xlnm._FilterDatabase" localSheetId="2" hidden="1">'VIGENCIA 2012'!$A$9:$P$170</definedName>
    <definedName name="_xlnm.Print_Area" localSheetId="1">'VIGENCIA 2011'!$A$11:$M$154</definedName>
    <definedName name="_xlnm.Print_Area" localSheetId="2">'VIGENCIA 2012'!$A$11:$M$172</definedName>
    <definedName name="_xlnm.Print_Area" localSheetId="3">'VIGENCIA 2013'!$A$11:$M$201</definedName>
    <definedName name="_xlnm.Print_Area" localSheetId="4">'VIGENCIA 2014'!$A$1:$M$181</definedName>
    <definedName name="_xlnm.Print_Area" localSheetId="5">'VIGENCIA 2015 '!$A$1:$M$179</definedName>
    <definedName name="_xlnm.Print_Titles" localSheetId="1">'VIGENCIA 2011'!$2:$10</definedName>
    <definedName name="_xlnm.Print_Titles" localSheetId="2">'VIGENCIA 2012'!$1:$10</definedName>
    <definedName name="_xlnm.Print_Titles" localSheetId="3">'VIGENCIA 2013'!$1:$10</definedName>
    <definedName name="_xlnm.Print_Titles" localSheetId="4">'VIGENCIA 2014'!$1:$10</definedName>
    <definedName name="_xlnm.Print_Titles" localSheetId="5">'VIGENCIA 2015 '!$2:$10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16" l="1"/>
  <c r="L79" i="16"/>
  <c r="L53" i="16"/>
  <c r="L80" i="16"/>
  <c r="K80" i="16"/>
  <c r="K100" i="16"/>
  <c r="D100" i="16"/>
  <c r="D80" i="16"/>
  <c r="L97" i="16"/>
  <c r="L95" i="16"/>
  <c r="K95" i="16"/>
  <c r="K96" i="16"/>
  <c r="K94" i="16"/>
  <c r="K92" i="16"/>
  <c r="K90" i="16"/>
  <c r="K89" i="16"/>
  <c r="K88" i="16"/>
  <c r="L85" i="16"/>
  <c r="K85" i="16"/>
  <c r="K86" i="16"/>
  <c r="K83" i="16"/>
  <c r="K82" i="16"/>
  <c r="K81" i="16"/>
  <c r="M99" i="16"/>
  <c r="K75" i="16"/>
  <c r="K74" i="16"/>
  <c r="K72" i="16"/>
  <c r="K71" i="16"/>
  <c r="K69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D51" i="16"/>
  <c r="K50" i="16"/>
  <c r="L50" i="16" s="1"/>
  <c r="K49" i="16"/>
  <c r="K48" i="16"/>
  <c r="K47" i="16"/>
  <c r="K45" i="16"/>
  <c r="M45" i="16" s="1"/>
  <c r="K44" i="16"/>
  <c r="M44" i="16" s="1"/>
  <c r="K42" i="16"/>
  <c r="K41" i="16"/>
  <c r="K38" i="16"/>
  <c r="K37" i="16"/>
  <c r="K35" i="16"/>
  <c r="K33" i="16"/>
  <c r="K32" i="16"/>
  <c r="K31" i="16"/>
  <c r="K30" i="16"/>
  <c r="K29" i="16"/>
  <c r="K28" i="16"/>
  <c r="K27" i="16"/>
  <c r="K25" i="16"/>
  <c r="K24" i="16"/>
  <c r="K23" i="16"/>
  <c r="K22" i="16"/>
  <c r="K20" i="16"/>
  <c r="K15" i="16"/>
  <c r="D73" i="16"/>
  <c r="K73" i="16" s="1"/>
  <c r="D68" i="16"/>
  <c r="K68" i="16" s="1"/>
  <c r="L47" i="16"/>
  <c r="K34" i="16"/>
  <c r="K18" i="16"/>
  <c r="K16" i="16"/>
  <c r="L15" i="16"/>
  <c r="J98" i="16"/>
  <c r="K98" i="16" s="1"/>
  <c r="M98" i="16" s="1"/>
  <c r="J97" i="16"/>
  <c r="K97" i="16" s="1"/>
  <c r="M97" i="16" s="1"/>
  <c r="J96" i="16"/>
  <c r="M96" i="16" s="1"/>
  <c r="J95" i="16"/>
  <c r="M95" i="16" s="1"/>
  <c r="J94" i="16"/>
  <c r="M94" i="16" s="1"/>
  <c r="J93" i="16"/>
  <c r="K93" i="16" s="1"/>
  <c r="M93" i="16" s="1"/>
  <c r="I92" i="16"/>
  <c r="I91" i="16" s="1"/>
  <c r="H92" i="16"/>
  <c r="H91" i="16" s="1"/>
  <c r="G92" i="16"/>
  <c r="G91" i="16" s="1"/>
  <c r="F92" i="16"/>
  <c r="F91" i="16" s="1"/>
  <c r="E92" i="16"/>
  <c r="E91" i="16" s="1"/>
  <c r="I90" i="16"/>
  <c r="I87" i="16" s="1"/>
  <c r="J89" i="16"/>
  <c r="H88" i="16"/>
  <c r="J88" i="16" s="1"/>
  <c r="M88" i="16" s="1"/>
  <c r="G87" i="16"/>
  <c r="F87" i="16"/>
  <c r="E87" i="16"/>
  <c r="D87" i="16"/>
  <c r="K87" i="16" s="1"/>
  <c r="L87" i="16" s="1"/>
  <c r="J86" i="16"/>
  <c r="J85" i="16"/>
  <c r="I84" i="16"/>
  <c r="H84" i="16"/>
  <c r="G84" i="16"/>
  <c r="F84" i="16"/>
  <c r="E84" i="16"/>
  <c r="J83" i="16"/>
  <c r="I82" i="16"/>
  <c r="H82" i="16"/>
  <c r="G82" i="16"/>
  <c r="F82" i="16"/>
  <c r="E82" i="16"/>
  <c r="J79" i="16"/>
  <c r="K79" i="16" s="1"/>
  <c r="M79" i="16" s="1"/>
  <c r="L78" i="16"/>
  <c r="L77" i="16" s="1"/>
  <c r="I78" i="16"/>
  <c r="I77" i="16" s="1"/>
  <c r="I76" i="16" s="1"/>
  <c r="H78" i="16"/>
  <c r="H77" i="16" s="1"/>
  <c r="H76" i="16" s="1"/>
  <c r="G78" i="16"/>
  <c r="G77" i="16" s="1"/>
  <c r="G76" i="16" s="1"/>
  <c r="F78" i="16"/>
  <c r="E78" i="16"/>
  <c r="E77" i="16" s="1"/>
  <c r="E76" i="16" s="1"/>
  <c r="D78" i="16"/>
  <c r="D77" i="16" s="1"/>
  <c r="D76" i="16" s="1"/>
  <c r="I75" i="16"/>
  <c r="I74" i="16" s="1"/>
  <c r="H74" i="16"/>
  <c r="G74" i="16"/>
  <c r="F74" i="16"/>
  <c r="E74" i="16"/>
  <c r="J73" i="16"/>
  <c r="I72" i="16"/>
  <c r="H72" i="16"/>
  <c r="G72" i="16"/>
  <c r="F72" i="16"/>
  <c r="E72" i="16"/>
  <c r="J70" i="16"/>
  <c r="J69" i="16"/>
  <c r="L68" i="16"/>
  <c r="L67" i="16" s="1"/>
  <c r="I68" i="16"/>
  <c r="I67" i="16" s="1"/>
  <c r="H68" i="16"/>
  <c r="H67" i="16" s="1"/>
  <c r="G68" i="16"/>
  <c r="G67" i="16" s="1"/>
  <c r="F68" i="16"/>
  <c r="F67" i="16" s="1"/>
  <c r="E68" i="16"/>
  <c r="D67" i="16"/>
  <c r="K67" i="16" s="1"/>
  <c r="J65" i="16"/>
  <c r="M65" i="16" s="1"/>
  <c r="J64" i="16"/>
  <c r="M64" i="16" s="1"/>
  <c r="J63" i="16"/>
  <c r="M63" i="16" s="1"/>
  <c r="J62" i="16"/>
  <c r="M62" i="16" s="1"/>
  <c r="J61" i="16"/>
  <c r="M61" i="16" s="1"/>
  <c r="H60" i="16"/>
  <c r="I59" i="16"/>
  <c r="G59" i="16"/>
  <c r="F59" i="16"/>
  <c r="E59" i="16"/>
  <c r="H58" i="16"/>
  <c r="J58" i="16" s="1"/>
  <c r="M58" i="16" s="1"/>
  <c r="J57" i="16"/>
  <c r="M57" i="16" s="1"/>
  <c r="I56" i="16"/>
  <c r="G56" i="16"/>
  <c r="F56" i="16"/>
  <c r="E56" i="16"/>
  <c r="J55" i="16"/>
  <c r="J54" i="16"/>
  <c r="H53" i="16"/>
  <c r="J53" i="16" s="1"/>
  <c r="M53" i="16" s="1"/>
  <c r="J52" i="16"/>
  <c r="K52" i="16" s="1"/>
  <c r="M52" i="16" s="1"/>
  <c r="I51" i="16"/>
  <c r="G51" i="16"/>
  <c r="F51" i="16"/>
  <c r="E51" i="16"/>
  <c r="I49" i="16"/>
  <c r="I48" i="16" s="1"/>
  <c r="H49" i="16"/>
  <c r="H48" i="16" s="1"/>
  <c r="G49" i="16"/>
  <c r="G48" i="16" s="1"/>
  <c r="F49" i="16"/>
  <c r="F48" i="16" s="1"/>
  <c r="E49" i="16"/>
  <c r="E48" i="16" s="1"/>
  <c r="J43" i="16"/>
  <c r="K43" i="16" s="1"/>
  <c r="M43" i="16" s="1"/>
  <c r="J42" i="16"/>
  <c r="M42" i="16" s="1"/>
  <c r="I41" i="16"/>
  <c r="H41" i="16"/>
  <c r="G41" i="16"/>
  <c r="F41" i="16"/>
  <c r="E41" i="16"/>
  <c r="J40" i="16"/>
  <c r="K40" i="16" s="1"/>
  <c r="M40" i="16" s="1"/>
  <c r="J39" i="16"/>
  <c r="M39" i="16" s="1"/>
  <c r="I38" i="16"/>
  <c r="H38" i="16"/>
  <c r="G38" i="16"/>
  <c r="F38" i="16"/>
  <c r="E38" i="16"/>
  <c r="J36" i="16"/>
  <c r="K36" i="16" s="1"/>
  <c r="M36" i="16" s="1"/>
  <c r="J35" i="16"/>
  <c r="M35" i="16" s="1"/>
  <c r="I34" i="16"/>
  <c r="H34" i="16"/>
  <c r="G34" i="16"/>
  <c r="F34" i="16"/>
  <c r="E34" i="16"/>
  <c r="J33" i="16"/>
  <c r="M33" i="16" s="1"/>
  <c r="J32" i="16"/>
  <c r="M32" i="16" s="1"/>
  <c r="I31" i="16"/>
  <c r="H31" i="16"/>
  <c r="G31" i="16"/>
  <c r="F31" i="16"/>
  <c r="E31" i="16"/>
  <c r="J30" i="16"/>
  <c r="J29" i="16"/>
  <c r="M29" i="16" s="1"/>
  <c r="J28" i="16"/>
  <c r="M28" i="16" s="1"/>
  <c r="J27" i="16"/>
  <c r="M27" i="16" s="1"/>
  <c r="J26" i="16"/>
  <c r="K26" i="16" s="1"/>
  <c r="M26" i="16" s="1"/>
  <c r="J25" i="16"/>
  <c r="M25" i="16" s="1"/>
  <c r="J24" i="16"/>
  <c r="M24" i="16" s="1"/>
  <c r="J23" i="16"/>
  <c r="M23" i="16" s="1"/>
  <c r="J22" i="16"/>
  <c r="M22" i="16" s="1"/>
  <c r="I21" i="16"/>
  <c r="H21" i="16"/>
  <c r="G21" i="16"/>
  <c r="F21" i="16"/>
  <c r="E21" i="16"/>
  <c r="D21" i="16"/>
  <c r="K21" i="16" s="1"/>
  <c r="I20" i="16"/>
  <c r="I19" i="16" s="1"/>
  <c r="L19" i="16"/>
  <c r="H19" i="16"/>
  <c r="G19" i="16"/>
  <c r="F19" i="16"/>
  <c r="E19" i="16"/>
  <c r="D19" i="16"/>
  <c r="K19" i="16" s="1"/>
  <c r="J18" i="16"/>
  <c r="M18" i="16" s="1"/>
  <c r="J17" i="16"/>
  <c r="K17" i="16" s="1"/>
  <c r="M17" i="16" s="1"/>
  <c r="I16" i="16"/>
  <c r="I15" i="16" s="1"/>
  <c r="H15" i="16"/>
  <c r="G15" i="16"/>
  <c r="F15" i="16"/>
  <c r="E15" i="16"/>
  <c r="M54" i="16" l="1"/>
  <c r="M55" i="16"/>
  <c r="M69" i="16"/>
  <c r="G71" i="16"/>
  <c r="H51" i="16"/>
  <c r="L86" i="16"/>
  <c r="M86" i="16" s="1"/>
  <c r="M73" i="16"/>
  <c r="L83" i="16"/>
  <c r="M83" i="16" s="1"/>
  <c r="E37" i="16"/>
  <c r="I37" i="16"/>
  <c r="H56" i="16"/>
  <c r="F14" i="16"/>
  <c r="J16" i="16"/>
  <c r="J15" i="16" s="1"/>
  <c r="G37" i="16"/>
  <c r="J20" i="16"/>
  <c r="M20" i="16" s="1"/>
  <c r="H87" i="16"/>
  <c r="H81" i="16" s="1"/>
  <c r="H80" i="16" s="1"/>
  <c r="H100" i="16" s="1"/>
  <c r="J90" i="16"/>
  <c r="J78" i="16"/>
  <c r="K78" i="16" s="1"/>
  <c r="M78" i="16" s="1"/>
  <c r="I50" i="16"/>
  <c r="I47" i="16" s="1"/>
  <c r="I46" i="16" s="1"/>
  <c r="J75" i="16"/>
  <c r="J72" i="16"/>
  <c r="I71" i="16"/>
  <c r="I66" i="16" s="1"/>
  <c r="E14" i="16"/>
  <c r="E13" i="16" s="1"/>
  <c r="E12" i="16" s="1"/>
  <c r="E11" i="16" s="1"/>
  <c r="G14" i="16"/>
  <c r="G66" i="16"/>
  <c r="E71" i="16"/>
  <c r="F71" i="16"/>
  <c r="F66" i="16" s="1"/>
  <c r="E81" i="16"/>
  <c r="E80" i="16" s="1"/>
  <c r="I81" i="16"/>
  <c r="I80" i="16" s="1"/>
  <c r="I100" i="16" s="1"/>
  <c r="I14" i="16"/>
  <c r="I13" i="16" s="1"/>
  <c r="I12" i="16" s="1"/>
  <c r="H14" i="16"/>
  <c r="J41" i="16"/>
  <c r="M41" i="16" s="1"/>
  <c r="J51" i="16"/>
  <c r="D46" i="16"/>
  <c r="K46" i="16" s="1"/>
  <c r="J74" i="16"/>
  <c r="F77" i="16"/>
  <c r="F76" i="16" s="1"/>
  <c r="J76" i="16" s="1"/>
  <c r="G81" i="16"/>
  <c r="G80" i="16" s="1"/>
  <c r="G100" i="16" s="1"/>
  <c r="J84" i="16"/>
  <c r="K84" i="16" s="1"/>
  <c r="M84" i="16" s="1"/>
  <c r="H37" i="16"/>
  <c r="H71" i="16"/>
  <c r="H66" i="16" s="1"/>
  <c r="D14" i="16"/>
  <c r="K14" i="16" s="1"/>
  <c r="L14" i="16"/>
  <c r="L13" i="16" s="1"/>
  <c r="E67" i="16"/>
  <c r="J68" i="16"/>
  <c r="M68" i="16" s="1"/>
  <c r="L76" i="16"/>
  <c r="J48" i="16"/>
  <c r="M48" i="16" s="1"/>
  <c r="G50" i="16"/>
  <c r="G47" i="16" s="1"/>
  <c r="G46" i="16" s="1"/>
  <c r="J31" i="16"/>
  <c r="M31" i="16" s="1"/>
  <c r="E50" i="16"/>
  <c r="H59" i="16"/>
  <c r="J60" i="16"/>
  <c r="M60" i="16" s="1"/>
  <c r="J19" i="16"/>
  <c r="M19" i="16" s="1"/>
  <c r="J21" i="16"/>
  <c r="M21" i="16" s="1"/>
  <c r="J34" i="16"/>
  <c r="M34" i="16" s="1"/>
  <c r="F37" i="16"/>
  <c r="F13" i="16" s="1"/>
  <c r="F12" i="16" s="1"/>
  <c r="J38" i="16"/>
  <c r="M38" i="16" s="1"/>
  <c r="F50" i="16"/>
  <c r="F47" i="16" s="1"/>
  <c r="F46" i="16" s="1"/>
  <c r="J91" i="16"/>
  <c r="M91" i="16" s="1"/>
  <c r="J92" i="16"/>
  <c r="M92" i="16" s="1"/>
  <c r="J56" i="16"/>
  <c r="M56" i="16" s="1"/>
  <c r="M72" i="16"/>
  <c r="J49" i="16"/>
  <c r="M49" i="16" s="1"/>
  <c r="M51" i="16"/>
  <c r="F81" i="16"/>
  <c r="F80" i="16" s="1"/>
  <c r="J82" i="16"/>
  <c r="F100" i="16" l="1"/>
  <c r="G13" i="16"/>
  <c r="G12" i="16" s="1"/>
  <c r="L82" i="16"/>
  <c r="M82" i="16" s="1"/>
  <c r="J87" i="16"/>
  <c r="M87" i="16" s="1"/>
  <c r="E100" i="16"/>
  <c r="J71" i="16"/>
  <c r="M71" i="16" s="1"/>
  <c r="H13" i="16"/>
  <c r="H12" i="16" s="1"/>
  <c r="J77" i="16"/>
  <c r="K77" i="16" s="1"/>
  <c r="M77" i="16" s="1"/>
  <c r="H50" i="16"/>
  <c r="H47" i="16" s="1"/>
  <c r="H46" i="16" s="1"/>
  <c r="E47" i="16"/>
  <c r="M16" i="16"/>
  <c r="D13" i="16"/>
  <c r="J59" i="16"/>
  <c r="M59" i="16" s="1"/>
  <c r="E66" i="16"/>
  <c r="J66" i="16" s="1"/>
  <c r="M66" i="16" s="1"/>
  <c r="J67" i="16"/>
  <c r="M67" i="16" s="1"/>
  <c r="J80" i="16"/>
  <c r="M80" i="16" s="1"/>
  <c r="L12" i="16"/>
  <c r="L11" i="16" s="1"/>
  <c r="J37" i="16"/>
  <c r="M37" i="16" s="1"/>
  <c r="J81" i="16"/>
  <c r="M81" i="16" s="1"/>
  <c r="J14" i="16"/>
  <c r="K76" i="16"/>
  <c r="M76" i="16" s="1"/>
  <c r="D12" i="16" l="1"/>
  <c r="K12" i="16" s="1"/>
  <c r="K11" i="16" s="1"/>
  <c r="K13" i="16"/>
  <c r="J13" i="16"/>
  <c r="J12" i="16" s="1"/>
  <c r="J100" i="16"/>
  <c r="J50" i="16"/>
  <c r="M50" i="16" s="1"/>
  <c r="L46" i="16"/>
  <c r="M15" i="16"/>
  <c r="J47" i="16"/>
  <c r="M47" i="16" s="1"/>
  <c r="E46" i="16"/>
  <c r="J46" i="16" s="1"/>
  <c r="D11" i="16" l="1"/>
  <c r="M14" i="16"/>
  <c r="L100" i="16"/>
  <c r="M46" i="16"/>
  <c r="M13" i="16" l="1"/>
  <c r="M11" i="16" l="1"/>
  <c r="M12" i="16"/>
  <c r="K122" i="14"/>
  <c r="K158" i="14" s="1"/>
  <c r="M158" i="14" s="1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2" i="14"/>
  <c r="M113" i="14"/>
  <c r="M114" i="14"/>
  <c r="M115" i="14"/>
  <c r="M116" i="14"/>
  <c r="M117" i="14"/>
  <c r="M118" i="14"/>
  <c r="M119" i="14"/>
  <c r="M120" i="14"/>
  <c r="M121" i="14"/>
  <c r="M122" i="14"/>
  <c r="M123" i="14"/>
  <c r="M124" i="14"/>
  <c r="M125" i="14"/>
  <c r="M126" i="14"/>
  <c r="M127" i="14"/>
  <c r="M128" i="14"/>
  <c r="M129" i="14"/>
  <c r="M130" i="14"/>
  <c r="M131" i="14"/>
  <c r="M132" i="14"/>
  <c r="M133" i="14"/>
  <c r="M134" i="14"/>
  <c r="M135" i="14"/>
  <c r="M136" i="14"/>
  <c r="M137" i="14"/>
  <c r="M138" i="14"/>
  <c r="M139" i="14"/>
  <c r="M140" i="14"/>
  <c r="M141" i="14"/>
  <c r="M142" i="14"/>
  <c r="M143" i="14"/>
  <c r="M144" i="14"/>
  <c r="M145" i="14"/>
  <c r="M146" i="14"/>
  <c r="M147" i="14"/>
  <c r="M148" i="14"/>
  <c r="M149" i="14"/>
  <c r="M150" i="14"/>
  <c r="M151" i="14"/>
  <c r="M152" i="14"/>
  <c r="M153" i="14"/>
  <c r="M154" i="14"/>
  <c r="M155" i="14"/>
  <c r="M156" i="14"/>
  <c r="M157" i="14"/>
  <c r="M11" i="14"/>
  <c r="K11" i="14"/>
  <c r="K55" i="14"/>
  <c r="K109" i="14"/>
  <c r="L158" i="14"/>
  <c r="K155" i="14"/>
  <c r="K154" i="14"/>
  <c r="K150" i="14"/>
  <c r="K149" i="14"/>
  <c r="K147" i="14"/>
  <c r="K146" i="14"/>
  <c r="K144" i="14"/>
  <c r="K141" i="14"/>
  <c r="K140" i="14"/>
  <c r="K139" i="14"/>
  <c r="K136" i="14" s="1"/>
  <c r="K123" i="14" s="1"/>
  <c r="K124" i="14"/>
  <c r="K121" i="14"/>
  <c r="K120" i="14"/>
  <c r="K119" i="14"/>
  <c r="K118" i="14"/>
  <c r="K112" i="14"/>
  <c r="K111" i="14"/>
  <c r="K110" i="14"/>
  <c r="K107" i="14"/>
  <c r="K106" i="14" s="1"/>
  <c r="K103" i="14"/>
  <c r="K101" i="14"/>
  <c r="K97" i="14"/>
  <c r="K95" i="14"/>
  <c r="K91" i="14"/>
  <c r="K86" i="14"/>
  <c r="K83" i="14"/>
  <c r="K79" i="14"/>
  <c r="K70" i="14"/>
  <c r="K59" i="14"/>
  <c r="K56" i="14"/>
  <c r="K52" i="14"/>
  <c r="K51" i="14"/>
  <c r="K43" i="14"/>
  <c r="K39" i="14"/>
  <c r="K38" i="14" s="1"/>
  <c r="K35" i="14"/>
  <c r="K31" i="14"/>
  <c r="K22" i="14"/>
  <c r="K19" i="14"/>
  <c r="K15" i="14"/>
  <c r="K14" i="14" s="1"/>
  <c r="L109" i="14"/>
  <c r="L110" i="14"/>
  <c r="L55" i="14"/>
  <c r="L122" i="14"/>
  <c r="L155" i="14"/>
  <c r="L154" i="14" s="1"/>
  <c r="L150" i="14"/>
  <c r="L149" i="14"/>
  <c r="L147" i="14"/>
  <c r="L146" i="14" s="1"/>
  <c r="L144" i="14"/>
  <c r="L141" i="14"/>
  <c r="L140" i="14"/>
  <c r="L139" i="14"/>
  <c r="L136" i="14" s="1"/>
  <c r="L124" i="14"/>
  <c r="L121" i="14"/>
  <c r="L120" i="14" s="1"/>
  <c r="L112" i="14"/>
  <c r="L111" i="14"/>
  <c r="L107" i="14"/>
  <c r="L106" i="14"/>
  <c r="L103" i="14"/>
  <c r="L101" i="14"/>
  <c r="L97" i="14"/>
  <c r="L95" i="14"/>
  <c r="L91" i="14"/>
  <c r="L86" i="14"/>
  <c r="L83" i="14"/>
  <c r="L79" i="14"/>
  <c r="L70" i="14"/>
  <c r="L59" i="14"/>
  <c r="L56" i="14"/>
  <c r="L52" i="14"/>
  <c r="L51" i="14" s="1"/>
  <c r="L43" i="14"/>
  <c r="L39" i="14"/>
  <c r="L38" i="14" s="1"/>
  <c r="L35" i="14"/>
  <c r="L31" i="14"/>
  <c r="L22" i="14"/>
  <c r="L14" i="14" s="1"/>
  <c r="L19" i="14"/>
  <c r="L15" i="14"/>
  <c r="D158" i="14"/>
  <c r="D122" i="14"/>
  <c r="D55" i="14"/>
  <c r="D109" i="14"/>
  <c r="D105" i="14" s="1"/>
  <c r="D155" i="14"/>
  <c r="D154" i="14"/>
  <c r="D150" i="14"/>
  <c r="D149" i="14"/>
  <c r="D147" i="14"/>
  <c r="D146" i="14"/>
  <c r="D144" i="14"/>
  <c r="D141" i="14"/>
  <c r="D140" i="14"/>
  <c r="D139" i="14"/>
  <c r="D136" i="14" s="1"/>
  <c r="D124" i="14"/>
  <c r="D121" i="14"/>
  <c r="D120" i="14"/>
  <c r="D119" i="14" s="1"/>
  <c r="D118" i="14" s="1"/>
  <c r="D112" i="14"/>
  <c r="D111" i="14"/>
  <c r="D110" i="14" s="1"/>
  <c r="D107" i="14"/>
  <c r="D106" i="14"/>
  <c r="D103" i="14"/>
  <c r="D101" i="14"/>
  <c r="D97" i="14"/>
  <c r="D95" i="14"/>
  <c r="D91" i="14"/>
  <c r="D86" i="14"/>
  <c r="D83" i="14"/>
  <c r="D79" i="14"/>
  <c r="D70" i="14"/>
  <c r="D59" i="14"/>
  <c r="D56" i="14"/>
  <c r="D52" i="14"/>
  <c r="D51" i="14" s="1"/>
  <c r="D43" i="14"/>
  <c r="D39" i="14"/>
  <c r="D38" i="14" s="1"/>
  <c r="D35" i="14"/>
  <c r="D31" i="14"/>
  <c r="D14" i="14" s="1"/>
  <c r="D13" i="14" s="1"/>
  <c r="D12" i="14" s="1"/>
  <c r="D22" i="14"/>
  <c r="D19" i="14"/>
  <c r="D15" i="14"/>
  <c r="K105" i="13"/>
  <c r="L16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5" i="13"/>
  <c r="M56" i="13"/>
  <c r="M57" i="13"/>
  <c r="M58" i="13"/>
  <c r="M59" i="13"/>
  <c r="M60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7" i="13"/>
  <c r="M98" i="13"/>
  <c r="M99" i="13"/>
  <c r="M100" i="13"/>
  <c r="M102" i="13"/>
  <c r="M103" i="13"/>
  <c r="M104" i="13"/>
  <c r="M105" i="13"/>
  <c r="M106" i="13"/>
  <c r="M107" i="13"/>
  <c r="M108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K150" i="13"/>
  <c r="K119" i="13"/>
  <c r="K153" i="13"/>
  <c r="K152" i="13"/>
  <c r="K149" i="13"/>
  <c r="K145" i="13"/>
  <c r="K144" i="13"/>
  <c r="K128" i="13"/>
  <c r="K116" i="13"/>
  <c r="K115" i="13"/>
  <c r="K114" i="13"/>
  <c r="K113" i="13"/>
  <c r="K108" i="13"/>
  <c r="K107" i="13"/>
  <c r="K106" i="13"/>
  <c r="K103" i="13"/>
  <c r="K102" i="13" s="1"/>
  <c r="K99" i="13"/>
  <c r="K95" i="13"/>
  <c r="K91" i="13"/>
  <c r="K89" i="13"/>
  <c r="K85" i="13"/>
  <c r="K80" i="13"/>
  <c r="K78" i="13"/>
  <c r="K74" i="13"/>
  <c r="K55" i="13"/>
  <c r="K66" i="13"/>
  <c r="K59" i="13"/>
  <c r="K56" i="13"/>
  <c r="K51" i="13"/>
  <c r="K50" i="13"/>
  <c r="K42" i="13"/>
  <c r="K38" i="13"/>
  <c r="K37" i="13"/>
  <c r="K34" i="13"/>
  <c r="K30" i="13"/>
  <c r="K22" i="13"/>
  <c r="K19" i="13"/>
  <c r="K15" i="13"/>
  <c r="K14" i="13" s="1"/>
  <c r="K13" i="13" s="1"/>
  <c r="K12" i="13" s="1"/>
  <c r="L105" i="13"/>
  <c r="L150" i="13"/>
  <c r="L119" i="13"/>
  <c r="L55" i="13"/>
  <c r="L49" i="13" s="1"/>
  <c r="L153" i="13"/>
  <c r="L152" i="13"/>
  <c r="L145" i="13"/>
  <c r="L144" i="13"/>
  <c r="L128" i="13"/>
  <c r="L116" i="13"/>
  <c r="L115" i="13"/>
  <c r="L114" i="13"/>
  <c r="L113" i="13"/>
  <c r="L108" i="13"/>
  <c r="L107" i="13"/>
  <c r="L106" i="13"/>
  <c r="L103" i="13"/>
  <c r="L102" i="13" s="1"/>
  <c r="L99" i="13"/>
  <c r="L95" i="13"/>
  <c r="L91" i="13"/>
  <c r="L89" i="13"/>
  <c r="L85" i="13"/>
  <c r="L80" i="13"/>
  <c r="L78" i="13"/>
  <c r="L74" i="13"/>
  <c r="L66" i="13"/>
  <c r="L59" i="13"/>
  <c r="L56" i="13"/>
  <c r="L51" i="13"/>
  <c r="L50" i="13" s="1"/>
  <c r="L42" i="13"/>
  <c r="L38" i="13"/>
  <c r="L37" i="13"/>
  <c r="L34" i="13"/>
  <c r="L30" i="13"/>
  <c r="L22" i="13"/>
  <c r="L19" i="13"/>
  <c r="L15" i="13"/>
  <c r="L14" i="13" s="1"/>
  <c r="L13" i="13" s="1"/>
  <c r="L12" i="13" s="1"/>
  <c r="D161" i="13"/>
  <c r="D117" i="13"/>
  <c r="D105" i="13"/>
  <c r="D55" i="13"/>
  <c r="D119" i="13"/>
  <c r="D150" i="13"/>
  <c r="D149" i="13" s="1"/>
  <c r="D153" i="13"/>
  <c r="D152" i="13"/>
  <c r="D145" i="13"/>
  <c r="D144" i="13" s="1"/>
  <c r="D128" i="13"/>
  <c r="D125" i="13"/>
  <c r="D116" i="13"/>
  <c r="D115" i="13"/>
  <c r="D114" i="13"/>
  <c r="D113" i="13" s="1"/>
  <c r="D108" i="13"/>
  <c r="D107" i="13"/>
  <c r="D106" i="13"/>
  <c r="D103" i="13"/>
  <c r="D102" i="13" s="1"/>
  <c r="D99" i="13"/>
  <c r="D95" i="13"/>
  <c r="D91" i="13"/>
  <c r="D89" i="13"/>
  <c r="D85" i="13"/>
  <c r="D80" i="13"/>
  <c r="D78" i="13"/>
  <c r="D74" i="13"/>
  <c r="D66" i="13"/>
  <c r="D59" i="13"/>
  <c r="D56" i="13"/>
  <c r="D51" i="13"/>
  <c r="D50" i="13" s="1"/>
  <c r="D42" i="13"/>
  <c r="D38" i="13"/>
  <c r="D37" i="13" s="1"/>
  <c r="D34" i="13"/>
  <c r="D30" i="13"/>
  <c r="D22" i="13"/>
  <c r="D19" i="13"/>
  <c r="D15" i="13"/>
  <c r="D14" i="13" s="1"/>
  <c r="D13" i="13" s="1"/>
  <c r="D12" i="13" s="1"/>
  <c r="M100" i="16" l="1"/>
  <c r="K105" i="14"/>
  <c r="K50" i="14" s="1"/>
  <c r="K49" i="14" s="1"/>
  <c r="K13" i="14"/>
  <c r="K12" i="14" s="1"/>
  <c r="L119" i="14"/>
  <c r="L118" i="14" s="1"/>
  <c r="L123" i="14"/>
  <c r="L13" i="14"/>
  <c r="L12" i="14" s="1"/>
  <c r="D123" i="14"/>
  <c r="D50" i="14"/>
  <c r="D49" i="14" s="1"/>
  <c r="D11" i="14" s="1"/>
  <c r="K118" i="13"/>
  <c r="K117" i="13" s="1"/>
  <c r="K101" i="13"/>
  <c r="K49" i="13"/>
  <c r="K48" i="13" s="1"/>
  <c r="L101" i="13"/>
  <c r="L11" i="13" s="1"/>
  <c r="L48" i="13"/>
  <c r="D118" i="13"/>
  <c r="D101" i="13"/>
  <c r="D49" i="13"/>
  <c r="D48" i="13" s="1"/>
  <c r="L105" i="14" l="1"/>
  <c r="L50" i="14"/>
  <c r="L49" i="14" s="1"/>
  <c r="L11" i="14" s="1"/>
  <c r="K11" i="13"/>
  <c r="M101" i="13"/>
  <c r="D11" i="13"/>
  <c r="D11" i="8"/>
  <c r="M11" i="13" l="1"/>
  <c r="K161" i="13"/>
  <c r="M161" i="13" s="1"/>
  <c r="J153" i="3" l="1"/>
  <c r="J158" i="3" l="1"/>
  <c r="K158" i="3" s="1"/>
  <c r="M158" i="3" s="1"/>
  <c r="J178" i="8"/>
  <c r="K178" i="8" s="1"/>
  <c r="M178" i="8" s="1"/>
  <c r="J177" i="8"/>
  <c r="K177" i="8" s="1"/>
  <c r="M177" i="8" s="1"/>
  <c r="L176" i="8"/>
  <c r="L175" i="8" s="1"/>
  <c r="I176" i="8"/>
  <c r="I175" i="8" s="1"/>
  <c r="H176" i="8"/>
  <c r="G176" i="8"/>
  <c r="G175" i="8" s="1"/>
  <c r="F176" i="8"/>
  <c r="J176" i="8" s="1"/>
  <c r="E176" i="8"/>
  <c r="E175" i="8" s="1"/>
  <c r="D176" i="8"/>
  <c r="D175" i="8" s="1"/>
  <c r="H175" i="8"/>
  <c r="J174" i="8"/>
  <c r="K174" i="8" s="1"/>
  <c r="M174" i="8" s="1"/>
  <c r="L173" i="8"/>
  <c r="I173" i="8"/>
  <c r="H173" i="8"/>
  <c r="G173" i="8"/>
  <c r="F173" i="8"/>
  <c r="F163" i="8" s="1"/>
  <c r="E173" i="8"/>
  <c r="D173" i="8"/>
  <c r="J172" i="8"/>
  <c r="K172" i="8" s="1"/>
  <c r="M172" i="8" s="1"/>
  <c r="K171" i="8"/>
  <c r="M171" i="8" s="1"/>
  <c r="J171" i="8"/>
  <c r="J170" i="8"/>
  <c r="K170" i="8" s="1"/>
  <c r="M170" i="8" s="1"/>
  <c r="J169" i="8"/>
  <c r="K169" i="8" s="1"/>
  <c r="M169" i="8" s="1"/>
  <c r="M168" i="8"/>
  <c r="J168" i="8"/>
  <c r="K168" i="8" s="1"/>
  <c r="I167" i="8"/>
  <c r="J166" i="8"/>
  <c r="K166" i="8" s="1"/>
  <c r="M166" i="8" s="1"/>
  <c r="M165" i="8"/>
  <c r="J165" i="8"/>
  <c r="K165" i="8" s="1"/>
  <c r="L164" i="8"/>
  <c r="H164" i="8"/>
  <c r="H163" i="8" s="1"/>
  <c r="G164" i="8"/>
  <c r="F164" i="8"/>
  <c r="E164" i="8"/>
  <c r="D164" i="8"/>
  <c r="J162" i="8"/>
  <c r="K162" i="8" s="1"/>
  <c r="M162" i="8" s="1"/>
  <c r="L161" i="8"/>
  <c r="L160" i="8" s="1"/>
  <c r="I161" i="8"/>
  <c r="I160" i="8" s="1"/>
  <c r="H161" i="8"/>
  <c r="H160" i="8" s="1"/>
  <c r="G161" i="8"/>
  <c r="G160" i="8" s="1"/>
  <c r="F161" i="8"/>
  <c r="F160" i="8" s="1"/>
  <c r="E161" i="8"/>
  <c r="D161" i="8"/>
  <c r="D160" i="8" s="1"/>
  <c r="J159" i="8"/>
  <c r="K159" i="8" s="1"/>
  <c r="M159" i="8" s="1"/>
  <c r="L158" i="8"/>
  <c r="I158" i="8"/>
  <c r="H158" i="8"/>
  <c r="G158" i="8"/>
  <c r="F158" i="8"/>
  <c r="E158" i="8"/>
  <c r="D158" i="8"/>
  <c r="J157" i="8"/>
  <c r="K157" i="8" s="1"/>
  <c r="M157" i="8" s="1"/>
  <c r="M156" i="8"/>
  <c r="J156" i="8"/>
  <c r="K156" i="8" s="1"/>
  <c r="L155" i="8"/>
  <c r="I155" i="8"/>
  <c r="H155" i="8"/>
  <c r="G155" i="8"/>
  <c r="F155" i="8"/>
  <c r="E155" i="8"/>
  <c r="E138" i="8" s="1"/>
  <c r="D155" i="8"/>
  <c r="J154" i="8"/>
  <c r="K154" i="8" s="1"/>
  <c r="J153" i="8"/>
  <c r="K153" i="8" s="1"/>
  <c r="L153" i="8" s="1"/>
  <c r="I152" i="8"/>
  <c r="H152" i="8"/>
  <c r="G152" i="8"/>
  <c r="F152" i="8"/>
  <c r="E152" i="8"/>
  <c r="D152" i="8"/>
  <c r="J151" i="8"/>
  <c r="K151" i="8" s="1"/>
  <c r="K150" i="8"/>
  <c r="J150" i="8"/>
  <c r="J149" i="8"/>
  <c r="K149" i="8" s="1"/>
  <c r="J148" i="8"/>
  <c r="K148" i="8" s="1"/>
  <c r="M148" i="8" s="1"/>
  <c r="L147" i="8"/>
  <c r="M147" i="8" s="1"/>
  <c r="J147" i="8"/>
  <c r="K147" i="8" s="1"/>
  <c r="J146" i="8"/>
  <c r="K146" i="8" s="1"/>
  <c r="L146" i="8" s="1"/>
  <c r="M146" i="8" s="1"/>
  <c r="J145" i="8"/>
  <c r="K145" i="8" s="1"/>
  <c r="M145" i="8" s="1"/>
  <c r="J144" i="8"/>
  <c r="K144" i="8" s="1"/>
  <c r="L144" i="8" s="1"/>
  <c r="M144" i="8" s="1"/>
  <c r="J143" i="8"/>
  <c r="K143" i="8" s="1"/>
  <c r="L143" i="8" s="1"/>
  <c r="M143" i="8" s="1"/>
  <c r="J142" i="8"/>
  <c r="K142" i="8" s="1"/>
  <c r="L142" i="8" s="1"/>
  <c r="M142" i="8" s="1"/>
  <c r="J141" i="8"/>
  <c r="K141" i="8" s="1"/>
  <c r="L141" i="8" s="1"/>
  <c r="J140" i="8"/>
  <c r="K140" i="8" s="1"/>
  <c r="L140" i="8" s="1"/>
  <c r="M140" i="8" s="1"/>
  <c r="I139" i="8"/>
  <c r="H139" i="8"/>
  <c r="G139" i="8"/>
  <c r="F139" i="8"/>
  <c r="E139" i="8"/>
  <c r="D139" i="8"/>
  <c r="J136" i="8"/>
  <c r="K136" i="8" s="1"/>
  <c r="L135" i="8"/>
  <c r="L134" i="8" s="1"/>
  <c r="I135" i="8"/>
  <c r="I134" i="8" s="1"/>
  <c r="I133" i="8" s="1"/>
  <c r="H135" i="8"/>
  <c r="H134" i="8" s="1"/>
  <c r="H133" i="8" s="1"/>
  <c r="G135" i="8"/>
  <c r="G134" i="8" s="1"/>
  <c r="G133" i="8" s="1"/>
  <c r="F135" i="8"/>
  <c r="F134" i="8" s="1"/>
  <c r="F133" i="8" s="1"/>
  <c r="E135" i="8"/>
  <c r="D135" i="8"/>
  <c r="D134" i="8" s="1"/>
  <c r="J132" i="8"/>
  <c r="K132" i="8" s="1"/>
  <c r="J131" i="8"/>
  <c r="K131" i="8" s="1"/>
  <c r="L130" i="8"/>
  <c r="I130" i="8"/>
  <c r="H130" i="8"/>
  <c r="G130" i="8"/>
  <c r="F130" i="8"/>
  <c r="E130" i="8"/>
  <c r="D130" i="8"/>
  <c r="H129" i="8"/>
  <c r="J129" i="8" s="1"/>
  <c r="K129" i="8" s="1"/>
  <c r="N129" i="8" s="1"/>
  <c r="H128" i="8"/>
  <c r="J128" i="8" s="1"/>
  <c r="K128" i="8" s="1"/>
  <c r="M128" i="8" s="1"/>
  <c r="J127" i="8"/>
  <c r="K127" i="8" s="1"/>
  <c r="J126" i="8"/>
  <c r="K126" i="8" s="1"/>
  <c r="M126" i="8" s="1"/>
  <c r="L125" i="8"/>
  <c r="I125" i="8"/>
  <c r="G125" i="8"/>
  <c r="F125" i="8"/>
  <c r="F124" i="8" s="1"/>
  <c r="E125" i="8"/>
  <c r="D125" i="8"/>
  <c r="J123" i="8"/>
  <c r="K123" i="8" s="1"/>
  <c r="N123" i="8" s="1"/>
  <c r="J122" i="8"/>
  <c r="K122" i="8" s="1"/>
  <c r="N122" i="8" s="1"/>
  <c r="L121" i="8"/>
  <c r="I121" i="8"/>
  <c r="I120" i="8" s="1"/>
  <c r="H121" i="8"/>
  <c r="H120" i="8" s="1"/>
  <c r="G121" i="8"/>
  <c r="G120" i="8" s="1"/>
  <c r="F121" i="8"/>
  <c r="F120" i="8" s="1"/>
  <c r="E121" i="8"/>
  <c r="D121" i="8"/>
  <c r="D120" i="8" s="1"/>
  <c r="L120" i="8"/>
  <c r="I118" i="8"/>
  <c r="J118" i="8" s="1"/>
  <c r="K118" i="8" s="1"/>
  <c r="M118" i="8" s="1"/>
  <c r="L117" i="8"/>
  <c r="H117" i="8"/>
  <c r="G117" i="8"/>
  <c r="F117" i="8"/>
  <c r="E117" i="8"/>
  <c r="D117" i="8"/>
  <c r="K116" i="8"/>
  <c r="J116" i="8"/>
  <c r="L115" i="8"/>
  <c r="I115" i="8"/>
  <c r="H115" i="8"/>
  <c r="G115" i="8"/>
  <c r="F115" i="8"/>
  <c r="E115" i="8"/>
  <c r="D115" i="8"/>
  <c r="J114" i="8"/>
  <c r="K114" i="8" s="1"/>
  <c r="N114" i="8" s="1"/>
  <c r="H114" i="8"/>
  <c r="H112" i="8" s="1"/>
  <c r="J113" i="8"/>
  <c r="K113" i="8" s="1"/>
  <c r="L112" i="8"/>
  <c r="I112" i="8"/>
  <c r="G112" i="8"/>
  <c r="F112" i="8"/>
  <c r="E112" i="8"/>
  <c r="D112" i="8"/>
  <c r="H111" i="8"/>
  <c r="J111" i="8" s="1"/>
  <c r="K111" i="8" s="1"/>
  <c r="I110" i="8"/>
  <c r="J110" i="8" s="1"/>
  <c r="K110" i="8" s="1"/>
  <c r="I109" i="8"/>
  <c r="H109" i="8"/>
  <c r="H108" i="8" s="1"/>
  <c r="L108" i="8"/>
  <c r="G108" i="8"/>
  <c r="F108" i="8"/>
  <c r="E108" i="8"/>
  <c r="D108" i="8"/>
  <c r="N107" i="8"/>
  <c r="I107" i="8"/>
  <c r="J107" i="8" s="1"/>
  <c r="K107" i="8" s="1"/>
  <c r="M107" i="8" s="1"/>
  <c r="J106" i="8"/>
  <c r="K106" i="8" s="1"/>
  <c r="N106" i="8" s="1"/>
  <c r="L105" i="8"/>
  <c r="H105" i="8"/>
  <c r="G105" i="8"/>
  <c r="F105" i="8"/>
  <c r="E105" i="8"/>
  <c r="D105" i="8"/>
  <c r="I104" i="8"/>
  <c r="J104" i="8" s="1"/>
  <c r="K104" i="8" s="1"/>
  <c r="M104" i="8" s="1"/>
  <c r="J103" i="8"/>
  <c r="K103" i="8" s="1"/>
  <c r="M103" i="8" s="1"/>
  <c r="I102" i="8"/>
  <c r="I100" i="8" s="1"/>
  <c r="H102" i="8"/>
  <c r="H100" i="8" s="1"/>
  <c r="J101" i="8"/>
  <c r="K101" i="8" s="1"/>
  <c r="M101" i="8" s="1"/>
  <c r="L100" i="8"/>
  <c r="G100" i="8"/>
  <c r="F100" i="8"/>
  <c r="E100" i="8"/>
  <c r="D100" i="8"/>
  <c r="J99" i="8"/>
  <c r="K99" i="8" s="1"/>
  <c r="N99" i="8" s="1"/>
  <c r="I99" i="8"/>
  <c r="K98" i="8"/>
  <c r="M98" i="8" s="1"/>
  <c r="J98" i="8"/>
  <c r="H97" i="8"/>
  <c r="J97" i="8" s="1"/>
  <c r="K97" i="8" s="1"/>
  <c r="M97" i="8" s="1"/>
  <c r="J96" i="8"/>
  <c r="K96" i="8" s="1"/>
  <c r="N96" i="8" s="1"/>
  <c r="I96" i="8"/>
  <c r="I95" i="8" s="1"/>
  <c r="L95" i="8"/>
  <c r="G95" i="8"/>
  <c r="F95" i="8"/>
  <c r="E95" i="8"/>
  <c r="D95" i="8"/>
  <c r="J94" i="8"/>
  <c r="K94" i="8" s="1"/>
  <c r="N94" i="8" s="1"/>
  <c r="I93" i="8"/>
  <c r="J93" i="8" s="1"/>
  <c r="K93" i="8" s="1"/>
  <c r="L92" i="8"/>
  <c r="H92" i="8"/>
  <c r="G92" i="8"/>
  <c r="F92" i="8"/>
  <c r="E92" i="8"/>
  <c r="D92" i="8"/>
  <c r="J91" i="8"/>
  <c r="K91" i="8" s="1"/>
  <c r="I90" i="8"/>
  <c r="J90" i="8" s="1"/>
  <c r="K90" i="8" s="1"/>
  <c r="N90" i="8" s="1"/>
  <c r="I89" i="8"/>
  <c r="I88" i="8"/>
  <c r="J88" i="8" s="1"/>
  <c r="K88" i="8" s="1"/>
  <c r="N88" i="8" s="1"/>
  <c r="L87" i="8"/>
  <c r="H87" i="8"/>
  <c r="G87" i="8"/>
  <c r="F87" i="8"/>
  <c r="E87" i="8"/>
  <c r="D87" i="8"/>
  <c r="J86" i="8"/>
  <c r="K86" i="8" s="1"/>
  <c r="M86" i="8" s="1"/>
  <c r="J85" i="8"/>
  <c r="K85" i="8" s="1"/>
  <c r="M85" i="8" s="1"/>
  <c r="K84" i="8"/>
  <c r="M84" i="8" s="1"/>
  <c r="I84" i="8"/>
  <c r="J84" i="8" s="1"/>
  <c r="J83" i="8"/>
  <c r="K83" i="8" s="1"/>
  <c r="M83" i="8" s="1"/>
  <c r="I82" i="8"/>
  <c r="J82" i="8" s="1"/>
  <c r="K82" i="8" s="1"/>
  <c r="J81" i="8"/>
  <c r="K81" i="8" s="1"/>
  <c r="N81" i="8" s="1"/>
  <c r="J80" i="8"/>
  <c r="K80" i="8" s="1"/>
  <c r="N80" i="8" s="1"/>
  <c r="J79" i="8"/>
  <c r="K79" i="8" s="1"/>
  <c r="N79" i="8" s="1"/>
  <c r="L78" i="8"/>
  <c r="H78" i="8"/>
  <c r="G78" i="8"/>
  <c r="F78" i="8"/>
  <c r="E78" i="8"/>
  <c r="D78" i="8"/>
  <c r="I77" i="8"/>
  <c r="J77" i="8" s="1"/>
  <c r="K77" i="8" s="1"/>
  <c r="N77" i="8" s="1"/>
  <c r="J76" i="8"/>
  <c r="K76" i="8" s="1"/>
  <c r="M76" i="8" s="1"/>
  <c r="I75" i="8"/>
  <c r="J75" i="8" s="1"/>
  <c r="K75" i="8" s="1"/>
  <c r="J74" i="8"/>
  <c r="K74" i="8" s="1"/>
  <c r="N74" i="8" s="1"/>
  <c r="I73" i="8"/>
  <c r="J73" i="8" s="1"/>
  <c r="K73" i="8" s="1"/>
  <c r="N73" i="8" s="1"/>
  <c r="I72" i="8"/>
  <c r="J72" i="8" s="1"/>
  <c r="K72" i="8" s="1"/>
  <c r="J71" i="8"/>
  <c r="K71" i="8" s="1"/>
  <c r="N71" i="8" s="1"/>
  <c r="J70" i="8"/>
  <c r="K70" i="8" s="1"/>
  <c r="N70" i="8" s="1"/>
  <c r="J69" i="8"/>
  <c r="K69" i="8" s="1"/>
  <c r="N69" i="8" s="1"/>
  <c r="I69" i="8"/>
  <c r="I68" i="8"/>
  <c r="J68" i="8" s="1"/>
  <c r="K68" i="8" s="1"/>
  <c r="L67" i="8"/>
  <c r="H67" i="8"/>
  <c r="G67" i="8"/>
  <c r="F67" i="8"/>
  <c r="E67" i="8"/>
  <c r="D67" i="8"/>
  <c r="K66" i="8"/>
  <c r="J66" i="8"/>
  <c r="J65" i="8"/>
  <c r="K65" i="8" s="1"/>
  <c r="L64" i="8"/>
  <c r="I64" i="8"/>
  <c r="H64" i="8"/>
  <c r="G64" i="8"/>
  <c r="F64" i="8"/>
  <c r="E64" i="8"/>
  <c r="D64" i="8"/>
  <c r="J63" i="8"/>
  <c r="K63" i="8" s="1"/>
  <c r="J62" i="8"/>
  <c r="K62" i="8" s="1"/>
  <c r="J61" i="8"/>
  <c r="K61" i="8" s="1"/>
  <c r="M61" i="8" s="1"/>
  <c r="J60" i="8"/>
  <c r="K60" i="8" s="1"/>
  <c r="J59" i="8"/>
  <c r="K59" i="8" s="1"/>
  <c r="L58" i="8"/>
  <c r="L57" i="8" s="1"/>
  <c r="I58" i="8"/>
  <c r="H58" i="8"/>
  <c r="G58" i="8"/>
  <c r="F58" i="8"/>
  <c r="E58" i="8"/>
  <c r="D58" i="8"/>
  <c r="J56" i="8"/>
  <c r="K56" i="8" s="1"/>
  <c r="N56" i="8" s="1"/>
  <c r="J55" i="8"/>
  <c r="K55" i="8" s="1"/>
  <c r="L54" i="8"/>
  <c r="I54" i="8"/>
  <c r="H54" i="8"/>
  <c r="H53" i="8" s="1"/>
  <c r="G54" i="8"/>
  <c r="G53" i="8" s="1"/>
  <c r="F54" i="8"/>
  <c r="F53" i="8" s="1"/>
  <c r="E54" i="8"/>
  <c r="E53" i="8" s="1"/>
  <c r="D54" i="8"/>
  <c r="I53" i="8"/>
  <c r="K50" i="8"/>
  <c r="J50" i="8"/>
  <c r="J49" i="8"/>
  <c r="K49" i="8" s="1"/>
  <c r="M49" i="8" s="1"/>
  <c r="J48" i="8"/>
  <c r="K48" i="8" s="1"/>
  <c r="H47" i="8"/>
  <c r="J47" i="8" s="1"/>
  <c r="K47" i="8" s="1"/>
  <c r="M47" i="8" s="1"/>
  <c r="H46" i="8"/>
  <c r="J46" i="8" s="1"/>
  <c r="K46" i="8" s="1"/>
  <c r="L45" i="8"/>
  <c r="I45" i="8"/>
  <c r="G45" i="8"/>
  <c r="F45" i="8"/>
  <c r="E45" i="8"/>
  <c r="D45" i="8"/>
  <c r="J44" i="8"/>
  <c r="K44" i="8" s="1"/>
  <c r="J43" i="8"/>
  <c r="K43" i="8" s="1"/>
  <c r="J42" i="8"/>
  <c r="K42" i="8" s="1"/>
  <c r="L41" i="8"/>
  <c r="I41" i="8"/>
  <c r="H41" i="8"/>
  <c r="G41" i="8"/>
  <c r="G40" i="8" s="1"/>
  <c r="F41" i="8"/>
  <c r="E41" i="8"/>
  <c r="D41" i="8"/>
  <c r="F40" i="8"/>
  <c r="H39" i="8"/>
  <c r="J39" i="8" s="1"/>
  <c r="K39" i="8" s="1"/>
  <c r="M39" i="8" s="1"/>
  <c r="I38" i="8"/>
  <c r="J38" i="8" s="1"/>
  <c r="K38" i="8" s="1"/>
  <c r="I37" i="8"/>
  <c r="H37" i="8"/>
  <c r="H36" i="8"/>
  <c r="J36" i="8" s="1"/>
  <c r="K36" i="8" s="1"/>
  <c r="M36" i="8" s="1"/>
  <c r="I35" i="8"/>
  <c r="H35" i="8"/>
  <c r="L34" i="8"/>
  <c r="G34" i="8"/>
  <c r="F34" i="8"/>
  <c r="E34" i="8"/>
  <c r="D34" i="8"/>
  <c r="J33" i="8"/>
  <c r="K33" i="8" s="1"/>
  <c r="H32" i="8"/>
  <c r="J32" i="8" s="1"/>
  <c r="K32" i="8" s="1"/>
  <c r="N32" i="8" s="1"/>
  <c r="I31" i="8"/>
  <c r="J31" i="8" s="1"/>
  <c r="K31" i="8" s="1"/>
  <c r="M31" i="8" s="1"/>
  <c r="L30" i="8"/>
  <c r="G30" i="8"/>
  <c r="F30" i="8"/>
  <c r="E30" i="8"/>
  <c r="D30" i="8"/>
  <c r="K29" i="8"/>
  <c r="M29" i="8" s="1"/>
  <c r="J29" i="8"/>
  <c r="J28" i="8"/>
  <c r="K28" i="8" s="1"/>
  <c r="M28" i="8" s="1"/>
  <c r="K27" i="8"/>
  <c r="M27" i="8" s="1"/>
  <c r="J27" i="8"/>
  <c r="J26" i="8"/>
  <c r="K26" i="8" s="1"/>
  <c r="M26" i="8" s="1"/>
  <c r="J25" i="8"/>
  <c r="K25" i="8" s="1"/>
  <c r="M25" i="8" s="1"/>
  <c r="K24" i="8"/>
  <c r="M24" i="8" s="1"/>
  <c r="J24" i="8"/>
  <c r="J23" i="8"/>
  <c r="K23" i="8" s="1"/>
  <c r="M23" i="8" s="1"/>
  <c r="L22" i="8"/>
  <c r="I22" i="8"/>
  <c r="H22" i="8"/>
  <c r="G22" i="8"/>
  <c r="F22" i="8"/>
  <c r="E22" i="8"/>
  <c r="D22" i="8"/>
  <c r="J21" i="8"/>
  <c r="K21" i="8" s="1"/>
  <c r="N21" i="8" s="1"/>
  <c r="J20" i="8"/>
  <c r="K20" i="8" s="1"/>
  <c r="M20" i="8" s="1"/>
  <c r="L19" i="8"/>
  <c r="I19" i="8"/>
  <c r="H19" i="8"/>
  <c r="G19" i="8"/>
  <c r="F19" i="8"/>
  <c r="E19" i="8"/>
  <c r="D19" i="8"/>
  <c r="J18" i="8"/>
  <c r="K18" i="8" s="1"/>
  <c r="N18" i="8" s="1"/>
  <c r="H17" i="8"/>
  <c r="H15" i="8" s="1"/>
  <c r="J16" i="8"/>
  <c r="K16" i="8" s="1"/>
  <c r="L15" i="8"/>
  <c r="I15" i="8"/>
  <c r="G15" i="8"/>
  <c r="F15" i="8"/>
  <c r="E15" i="8"/>
  <c r="D15" i="8"/>
  <c r="J178" i="10"/>
  <c r="K178" i="10" s="1"/>
  <c r="M178" i="10" s="1"/>
  <c r="J177" i="10"/>
  <c r="K177" i="10" s="1"/>
  <c r="M177" i="10" s="1"/>
  <c r="J176" i="10"/>
  <c r="K176" i="10" s="1"/>
  <c r="M176" i="10" s="1"/>
  <c r="L175" i="10"/>
  <c r="L174" i="10" s="1"/>
  <c r="I175" i="10"/>
  <c r="H175" i="10"/>
  <c r="H174" i="10" s="1"/>
  <c r="G175" i="10"/>
  <c r="F175" i="10"/>
  <c r="F174" i="10" s="1"/>
  <c r="E175" i="10"/>
  <c r="D175" i="10"/>
  <c r="D174" i="10" s="1"/>
  <c r="I174" i="10"/>
  <c r="G174" i="10"/>
  <c r="J173" i="10"/>
  <c r="K173" i="10" s="1"/>
  <c r="M173" i="10" s="1"/>
  <c r="L172" i="10"/>
  <c r="I172" i="10"/>
  <c r="H172" i="10"/>
  <c r="G172" i="10"/>
  <c r="F172" i="10"/>
  <c r="E172" i="10"/>
  <c r="D172" i="10"/>
  <c r="J171" i="10"/>
  <c r="K171" i="10" s="1"/>
  <c r="M171" i="10" s="1"/>
  <c r="J170" i="10"/>
  <c r="K170" i="10" s="1"/>
  <c r="M170" i="10" s="1"/>
  <c r="J169" i="10"/>
  <c r="K169" i="10" s="1"/>
  <c r="M169" i="10" s="1"/>
  <c r="J168" i="10"/>
  <c r="K168" i="10" s="1"/>
  <c r="M168" i="10" s="1"/>
  <c r="J167" i="10"/>
  <c r="K167" i="10" s="1"/>
  <c r="M167" i="10" s="1"/>
  <c r="J166" i="10"/>
  <c r="K166" i="10" s="1"/>
  <c r="M166" i="10" s="1"/>
  <c r="L165" i="10"/>
  <c r="I165" i="10"/>
  <c r="I164" i="10" s="1"/>
  <c r="H165" i="10"/>
  <c r="H164" i="10" s="1"/>
  <c r="G165" i="10"/>
  <c r="G164" i="10" s="1"/>
  <c r="F165" i="10"/>
  <c r="E165" i="10"/>
  <c r="D165" i="10"/>
  <c r="D164" i="10" s="1"/>
  <c r="L164" i="10"/>
  <c r="F164" i="10"/>
  <c r="E164" i="10"/>
  <c r="J163" i="10"/>
  <c r="K163" i="10" s="1"/>
  <c r="M163" i="10" s="1"/>
  <c r="L162" i="10"/>
  <c r="I162" i="10"/>
  <c r="I161" i="10" s="1"/>
  <c r="H162" i="10"/>
  <c r="H161" i="10" s="1"/>
  <c r="G162" i="10"/>
  <c r="G161" i="10" s="1"/>
  <c r="F162" i="10"/>
  <c r="F161" i="10" s="1"/>
  <c r="E162" i="10"/>
  <c r="D162" i="10"/>
  <c r="D161" i="10" s="1"/>
  <c r="L161" i="10"/>
  <c r="J160" i="10"/>
  <c r="K160" i="10" s="1"/>
  <c r="M160" i="10" s="1"/>
  <c r="L159" i="10"/>
  <c r="I159" i="10"/>
  <c r="H159" i="10"/>
  <c r="G159" i="10"/>
  <c r="F159" i="10"/>
  <c r="E159" i="10"/>
  <c r="D159" i="10"/>
  <c r="J158" i="10"/>
  <c r="K158" i="10" s="1"/>
  <c r="M158" i="10" s="1"/>
  <c r="J157" i="10"/>
  <c r="K157" i="10" s="1"/>
  <c r="M157" i="10" s="1"/>
  <c r="L156" i="10"/>
  <c r="I156" i="10"/>
  <c r="H156" i="10"/>
  <c r="G156" i="10"/>
  <c r="F156" i="10"/>
  <c r="E156" i="10"/>
  <c r="D156" i="10"/>
  <c r="J155" i="10"/>
  <c r="K155" i="10" s="1"/>
  <c r="J154" i="10"/>
  <c r="K154" i="10" s="1"/>
  <c r="L154" i="10" s="1"/>
  <c r="I153" i="10"/>
  <c r="H153" i="10"/>
  <c r="G153" i="10"/>
  <c r="F153" i="10"/>
  <c r="F139" i="10" s="1"/>
  <c r="F138" i="10" s="1"/>
  <c r="E153" i="10"/>
  <c r="D153" i="10"/>
  <c r="J152" i="10"/>
  <c r="K152" i="10" s="1"/>
  <c r="M152" i="10" s="1"/>
  <c r="J151" i="10"/>
  <c r="K151" i="10" s="1"/>
  <c r="M151" i="10" s="1"/>
  <c r="J150" i="10"/>
  <c r="K150" i="10" s="1"/>
  <c r="J149" i="10"/>
  <c r="K149" i="10" s="1"/>
  <c r="M149" i="10" s="1"/>
  <c r="J148" i="10"/>
  <c r="K148" i="10" s="1"/>
  <c r="L148" i="10" s="1"/>
  <c r="J147" i="10"/>
  <c r="K147" i="10" s="1"/>
  <c r="M147" i="10" s="1"/>
  <c r="I146" i="10"/>
  <c r="J146" i="10" s="1"/>
  <c r="K146" i="10" s="1"/>
  <c r="M146" i="10" s="1"/>
  <c r="J145" i="10"/>
  <c r="K145" i="10" s="1"/>
  <c r="M145" i="10" s="1"/>
  <c r="J144" i="10"/>
  <c r="K144" i="10" s="1"/>
  <c r="M144" i="10" s="1"/>
  <c r="J143" i="10"/>
  <c r="K143" i="10" s="1"/>
  <c r="M143" i="10" s="1"/>
  <c r="J142" i="10"/>
  <c r="K142" i="10" s="1"/>
  <c r="M142" i="10" s="1"/>
  <c r="J141" i="10"/>
  <c r="K141" i="10" s="1"/>
  <c r="M141" i="10" s="1"/>
  <c r="H140" i="10"/>
  <c r="H139" i="10" s="1"/>
  <c r="G140" i="10"/>
  <c r="F140" i="10"/>
  <c r="E140" i="10"/>
  <c r="D140" i="10"/>
  <c r="D139" i="10" s="1"/>
  <c r="E139" i="10"/>
  <c r="J137" i="10"/>
  <c r="K137" i="10" s="1"/>
  <c r="M137" i="10" s="1"/>
  <c r="J136" i="10"/>
  <c r="K136" i="10" s="1"/>
  <c r="M136" i="10" s="1"/>
  <c r="L135" i="10"/>
  <c r="I135" i="10"/>
  <c r="I134" i="10" s="1"/>
  <c r="I133" i="10" s="1"/>
  <c r="H135" i="10"/>
  <c r="H134" i="10" s="1"/>
  <c r="H133" i="10" s="1"/>
  <c r="G135" i="10"/>
  <c r="G134" i="10" s="1"/>
  <c r="G133" i="10" s="1"/>
  <c r="F135" i="10"/>
  <c r="E135" i="10"/>
  <c r="D135" i="10"/>
  <c r="D134" i="10" s="1"/>
  <c r="D133" i="10" s="1"/>
  <c r="L134" i="10"/>
  <c r="F134" i="10"/>
  <c r="F133" i="10" s="1"/>
  <c r="E134" i="10"/>
  <c r="E133" i="10" s="1"/>
  <c r="L133" i="10"/>
  <c r="I132" i="10"/>
  <c r="J132" i="10" s="1"/>
  <c r="K132" i="10" s="1"/>
  <c r="L131" i="10"/>
  <c r="I131" i="10"/>
  <c r="H131" i="10"/>
  <c r="G131" i="10"/>
  <c r="F131" i="10"/>
  <c r="E131" i="10"/>
  <c r="D131" i="10"/>
  <c r="J130" i="10"/>
  <c r="K130" i="10" s="1"/>
  <c r="N130" i="10" s="1"/>
  <c r="J129" i="10"/>
  <c r="K129" i="10" s="1"/>
  <c r="M129" i="10" s="1"/>
  <c r="J128" i="10"/>
  <c r="K128" i="10" s="1"/>
  <c r="J127" i="10"/>
  <c r="K127" i="10" s="1"/>
  <c r="M127" i="10" s="1"/>
  <c r="J126" i="10"/>
  <c r="K126" i="10" s="1"/>
  <c r="L125" i="10"/>
  <c r="L124" i="10" s="1"/>
  <c r="I125" i="10"/>
  <c r="I124" i="10" s="1"/>
  <c r="H125" i="10"/>
  <c r="H124" i="10" s="1"/>
  <c r="G125" i="10"/>
  <c r="F125" i="10"/>
  <c r="F124" i="10" s="1"/>
  <c r="E125" i="10"/>
  <c r="D125" i="10"/>
  <c r="D124" i="10"/>
  <c r="J123" i="10"/>
  <c r="K123" i="10" s="1"/>
  <c r="J122" i="10"/>
  <c r="K122" i="10" s="1"/>
  <c r="L121" i="10"/>
  <c r="L120" i="10" s="1"/>
  <c r="I121" i="10"/>
  <c r="I120" i="10" s="1"/>
  <c r="H121" i="10"/>
  <c r="H120" i="10" s="1"/>
  <c r="H119" i="10" s="1"/>
  <c r="G121" i="10"/>
  <c r="G120" i="10" s="1"/>
  <c r="F121" i="10"/>
  <c r="F120" i="10" s="1"/>
  <c r="E121" i="10"/>
  <c r="D121" i="10"/>
  <c r="D120" i="10" s="1"/>
  <c r="D119" i="10" s="1"/>
  <c r="H118" i="10"/>
  <c r="J118" i="10" s="1"/>
  <c r="K118" i="10" s="1"/>
  <c r="L117" i="10"/>
  <c r="I117" i="10"/>
  <c r="G117" i="10"/>
  <c r="F117" i="10"/>
  <c r="E117" i="10"/>
  <c r="D117" i="10"/>
  <c r="J116" i="10"/>
  <c r="K116" i="10" s="1"/>
  <c r="M116" i="10" s="1"/>
  <c r="L115" i="10"/>
  <c r="I115" i="10"/>
  <c r="H115" i="10"/>
  <c r="G115" i="10"/>
  <c r="F115" i="10"/>
  <c r="E115" i="10"/>
  <c r="J115" i="10" s="1"/>
  <c r="K115" i="10" s="1"/>
  <c r="D115" i="10"/>
  <c r="I114" i="10"/>
  <c r="J114" i="10" s="1"/>
  <c r="K114" i="10" s="1"/>
  <c r="H113" i="10"/>
  <c r="J113" i="10" s="1"/>
  <c r="K113" i="10" s="1"/>
  <c r="J112" i="10"/>
  <c r="K112" i="10" s="1"/>
  <c r="M112" i="10" s="1"/>
  <c r="L111" i="10"/>
  <c r="I111" i="10"/>
  <c r="G111" i="10"/>
  <c r="F111" i="10"/>
  <c r="E111" i="10"/>
  <c r="D111" i="10"/>
  <c r="H110" i="10"/>
  <c r="J110" i="10" s="1"/>
  <c r="K110" i="10" s="1"/>
  <c r="H109" i="10"/>
  <c r="J109" i="10" s="1"/>
  <c r="K109" i="10" s="1"/>
  <c r="I108" i="10"/>
  <c r="J108" i="10" s="1"/>
  <c r="K108" i="10" s="1"/>
  <c r="L107" i="10"/>
  <c r="H107" i="10"/>
  <c r="G107" i="10"/>
  <c r="F107" i="10"/>
  <c r="E107" i="10"/>
  <c r="D107" i="10"/>
  <c r="I106" i="10"/>
  <c r="J106" i="10" s="1"/>
  <c r="K106" i="10" s="1"/>
  <c r="J105" i="10"/>
  <c r="K105" i="10" s="1"/>
  <c r="L104" i="10"/>
  <c r="H104" i="10"/>
  <c r="G104" i="10"/>
  <c r="F104" i="10"/>
  <c r="E104" i="10"/>
  <c r="D104" i="10"/>
  <c r="I103" i="10"/>
  <c r="J103" i="10" s="1"/>
  <c r="K103" i="10" s="1"/>
  <c r="N102" i="10"/>
  <c r="M102" i="10"/>
  <c r="I102" i="10"/>
  <c r="J102" i="10" s="1"/>
  <c r="I101" i="10"/>
  <c r="J101" i="10" s="1"/>
  <c r="K101" i="10" s="1"/>
  <c r="L100" i="10"/>
  <c r="H100" i="10"/>
  <c r="G100" i="10"/>
  <c r="F100" i="10"/>
  <c r="E100" i="10"/>
  <c r="D100" i="10"/>
  <c r="I99" i="10"/>
  <c r="J99" i="10" s="1"/>
  <c r="K99" i="10" s="1"/>
  <c r="J98" i="10"/>
  <c r="K98" i="10" s="1"/>
  <c r="H97" i="10"/>
  <c r="J97" i="10" s="1"/>
  <c r="K97" i="10" s="1"/>
  <c r="I96" i="10"/>
  <c r="J96" i="10" s="1"/>
  <c r="K96" i="10" s="1"/>
  <c r="L95" i="10"/>
  <c r="H95" i="10"/>
  <c r="G95" i="10"/>
  <c r="F95" i="10"/>
  <c r="E95" i="10"/>
  <c r="D95" i="10"/>
  <c r="I94" i="10"/>
  <c r="J94" i="10" s="1"/>
  <c r="K94" i="10" s="1"/>
  <c r="I93" i="10"/>
  <c r="J93" i="10" s="1"/>
  <c r="K93" i="10" s="1"/>
  <c r="L92" i="10"/>
  <c r="H92" i="10"/>
  <c r="G92" i="10"/>
  <c r="F92" i="10"/>
  <c r="E92" i="10"/>
  <c r="D92" i="10"/>
  <c r="J91" i="10"/>
  <c r="K91" i="10" s="1"/>
  <c r="J90" i="10"/>
  <c r="K90" i="10" s="1"/>
  <c r="I89" i="10"/>
  <c r="H89" i="10"/>
  <c r="H88" i="10"/>
  <c r="J88" i="10" s="1"/>
  <c r="K88" i="10" s="1"/>
  <c r="L87" i="10"/>
  <c r="I87" i="10"/>
  <c r="G87" i="10"/>
  <c r="F87" i="10"/>
  <c r="E87" i="10"/>
  <c r="D87" i="10"/>
  <c r="I86" i="10"/>
  <c r="J86" i="10" s="1"/>
  <c r="K86" i="10" s="1"/>
  <c r="M86" i="10" s="1"/>
  <c r="J85" i="10"/>
  <c r="K85" i="10" s="1"/>
  <c r="M85" i="10" s="1"/>
  <c r="H84" i="10"/>
  <c r="J84" i="10" s="1"/>
  <c r="K84" i="10" s="1"/>
  <c r="M84" i="10" s="1"/>
  <c r="H83" i="10"/>
  <c r="J83" i="10" s="1"/>
  <c r="K83" i="10" s="1"/>
  <c r="M83" i="10" s="1"/>
  <c r="J82" i="10"/>
  <c r="K82" i="10" s="1"/>
  <c r="N82" i="10" s="1"/>
  <c r="I81" i="10"/>
  <c r="J81" i="10" s="1"/>
  <c r="K81" i="10" s="1"/>
  <c r="I80" i="10"/>
  <c r="H80" i="10"/>
  <c r="I79" i="10"/>
  <c r="H79" i="10"/>
  <c r="L78" i="10"/>
  <c r="G78" i="10"/>
  <c r="F78" i="10"/>
  <c r="E78" i="10"/>
  <c r="D78" i="10"/>
  <c r="I77" i="10"/>
  <c r="J77" i="10" s="1"/>
  <c r="K77" i="10" s="1"/>
  <c r="I76" i="10"/>
  <c r="J76" i="10" s="1"/>
  <c r="K76" i="10" s="1"/>
  <c r="I75" i="10"/>
  <c r="J75" i="10" s="1"/>
  <c r="K75" i="10" s="1"/>
  <c r="I74" i="10"/>
  <c r="J74" i="10" s="1"/>
  <c r="K74" i="10" s="1"/>
  <c r="J73" i="10"/>
  <c r="K73" i="10" s="1"/>
  <c r="M73" i="10" s="1"/>
  <c r="I72" i="10"/>
  <c r="J72" i="10" s="1"/>
  <c r="K72" i="10" s="1"/>
  <c r="J71" i="10"/>
  <c r="K71" i="10" s="1"/>
  <c r="I70" i="10"/>
  <c r="J70" i="10" s="1"/>
  <c r="K70" i="10" s="1"/>
  <c r="J69" i="10"/>
  <c r="K69" i="10" s="1"/>
  <c r="M69" i="10" s="1"/>
  <c r="J68" i="10"/>
  <c r="K68" i="10" s="1"/>
  <c r="I67" i="10"/>
  <c r="H67" i="10"/>
  <c r="H66" i="10" s="1"/>
  <c r="L66" i="10"/>
  <c r="G66" i="10"/>
  <c r="F66" i="10"/>
  <c r="E66" i="10"/>
  <c r="D66" i="10"/>
  <c r="J65" i="10"/>
  <c r="K65" i="10" s="1"/>
  <c r="M65" i="10" s="1"/>
  <c r="J64" i="10"/>
  <c r="K64" i="10" s="1"/>
  <c r="M64" i="10" s="1"/>
  <c r="L63" i="10"/>
  <c r="I63" i="10"/>
  <c r="H63" i="10"/>
  <c r="G63" i="10"/>
  <c r="F63" i="10"/>
  <c r="E63" i="10"/>
  <c r="D63" i="10"/>
  <c r="I62" i="10"/>
  <c r="J62" i="10" s="1"/>
  <c r="K62" i="10" s="1"/>
  <c r="M62" i="10" s="1"/>
  <c r="I61" i="10"/>
  <c r="H61" i="10"/>
  <c r="I60" i="10"/>
  <c r="H60" i="10"/>
  <c r="J59" i="10"/>
  <c r="K59" i="10" s="1"/>
  <c r="M59" i="10" s="1"/>
  <c r="I59" i="10"/>
  <c r="J58" i="10"/>
  <c r="K58" i="10" s="1"/>
  <c r="M58" i="10" s="1"/>
  <c r="L57" i="10"/>
  <c r="H57" i="10"/>
  <c r="G57" i="10"/>
  <c r="F57" i="10"/>
  <c r="E57" i="10"/>
  <c r="D57" i="10"/>
  <c r="J55" i="10"/>
  <c r="K55" i="10" s="1"/>
  <c r="N55" i="10" s="1"/>
  <c r="J54" i="10"/>
  <c r="K54" i="10" s="1"/>
  <c r="L53" i="10"/>
  <c r="I53" i="10"/>
  <c r="I52" i="10" s="1"/>
  <c r="H53" i="10"/>
  <c r="H52" i="10" s="1"/>
  <c r="G53" i="10"/>
  <c r="G52" i="10" s="1"/>
  <c r="F53" i="10"/>
  <c r="E53" i="10"/>
  <c r="D53" i="10"/>
  <c r="D52" i="10" s="1"/>
  <c r="L52" i="10"/>
  <c r="F52" i="10"/>
  <c r="J49" i="10"/>
  <c r="K49" i="10" s="1"/>
  <c r="J48" i="10"/>
  <c r="K48" i="10" s="1"/>
  <c r="J47" i="10"/>
  <c r="K47" i="10" s="1"/>
  <c r="J46" i="10"/>
  <c r="K46" i="10" s="1"/>
  <c r="J45" i="10"/>
  <c r="K45" i="10" s="1"/>
  <c r="L44" i="10"/>
  <c r="I44" i="10"/>
  <c r="H44" i="10"/>
  <c r="G44" i="10"/>
  <c r="F44" i="10"/>
  <c r="E44" i="10"/>
  <c r="D44" i="10"/>
  <c r="H43" i="10"/>
  <c r="J43" i="10" s="1"/>
  <c r="K43" i="10" s="1"/>
  <c r="J42" i="10"/>
  <c r="K42" i="10" s="1"/>
  <c r="J41" i="10"/>
  <c r="K41" i="10" s="1"/>
  <c r="L40" i="10"/>
  <c r="L39" i="10" s="1"/>
  <c r="I40" i="10"/>
  <c r="G40" i="10"/>
  <c r="F40" i="10"/>
  <c r="E40" i="10"/>
  <c r="D40" i="10"/>
  <c r="F39" i="10"/>
  <c r="J38" i="10"/>
  <c r="K38" i="10" s="1"/>
  <c r="I37" i="10"/>
  <c r="H37" i="10"/>
  <c r="H36" i="10"/>
  <c r="J36" i="10" s="1"/>
  <c r="K36" i="10" s="1"/>
  <c r="L35" i="10"/>
  <c r="I35" i="10"/>
  <c r="G35" i="10"/>
  <c r="F35" i="10"/>
  <c r="E35" i="10"/>
  <c r="D35" i="10"/>
  <c r="H34" i="10"/>
  <c r="J34" i="10" s="1"/>
  <c r="K34" i="10" s="1"/>
  <c r="J33" i="10"/>
  <c r="K33" i="10" s="1"/>
  <c r="L32" i="10"/>
  <c r="I32" i="10"/>
  <c r="G32" i="10"/>
  <c r="F32" i="10"/>
  <c r="E32" i="10"/>
  <c r="D32" i="10"/>
  <c r="J31" i="10"/>
  <c r="K31" i="10" s="1"/>
  <c r="J30" i="10"/>
  <c r="K30" i="10" s="1"/>
  <c r="M30" i="10" s="1"/>
  <c r="J29" i="10"/>
  <c r="K29" i="10" s="1"/>
  <c r="H28" i="10"/>
  <c r="J28" i="10" s="1"/>
  <c r="K28" i="10" s="1"/>
  <c r="H27" i="10"/>
  <c r="J27" i="10" s="1"/>
  <c r="K27" i="10" s="1"/>
  <c r="I26" i="10"/>
  <c r="J26" i="10" s="1"/>
  <c r="K26" i="10" s="1"/>
  <c r="J25" i="10"/>
  <c r="K25" i="10" s="1"/>
  <c r="J24" i="10"/>
  <c r="K24" i="10" s="1"/>
  <c r="H23" i="10"/>
  <c r="J23" i="10" s="1"/>
  <c r="K23" i="10" s="1"/>
  <c r="L22" i="10"/>
  <c r="H22" i="10"/>
  <c r="G22" i="10"/>
  <c r="F22" i="10"/>
  <c r="E22" i="10"/>
  <c r="D22" i="10"/>
  <c r="I21" i="10"/>
  <c r="J21" i="10" s="1"/>
  <c r="K21" i="10" s="1"/>
  <c r="J20" i="10"/>
  <c r="K20" i="10" s="1"/>
  <c r="M20" i="10" s="1"/>
  <c r="I20" i="10"/>
  <c r="I19" i="10" s="1"/>
  <c r="L19" i="10"/>
  <c r="H19" i="10"/>
  <c r="G19" i="10"/>
  <c r="G14" i="10" s="1"/>
  <c r="F19" i="10"/>
  <c r="E19" i="10"/>
  <c r="D19" i="10"/>
  <c r="J18" i="10"/>
  <c r="K18" i="10" s="1"/>
  <c r="N18" i="10" s="1"/>
  <c r="I17" i="10"/>
  <c r="J17" i="10" s="1"/>
  <c r="K17" i="10" s="1"/>
  <c r="N17" i="10" s="1"/>
  <c r="H16" i="10"/>
  <c r="L15" i="10"/>
  <c r="I15" i="10"/>
  <c r="G15" i="10"/>
  <c r="F15" i="10"/>
  <c r="E15" i="10"/>
  <c r="D15" i="10"/>
  <c r="J198" i="9"/>
  <c r="K198" i="9" s="1"/>
  <c r="M198" i="9" s="1"/>
  <c r="J197" i="9"/>
  <c r="K197" i="9" s="1"/>
  <c r="M197" i="9" s="1"/>
  <c r="L196" i="9"/>
  <c r="L195" i="9" s="1"/>
  <c r="I196" i="9"/>
  <c r="I195" i="9" s="1"/>
  <c r="H196" i="9"/>
  <c r="G196" i="9"/>
  <c r="G195" i="9" s="1"/>
  <c r="F196" i="9"/>
  <c r="E196" i="9"/>
  <c r="D196" i="9"/>
  <c r="D195" i="9" s="1"/>
  <c r="H195" i="9"/>
  <c r="F195" i="9"/>
  <c r="I194" i="9"/>
  <c r="J194" i="9" s="1"/>
  <c r="K194" i="9" s="1"/>
  <c r="M194" i="9" s="1"/>
  <c r="J193" i="9"/>
  <c r="K193" i="9" s="1"/>
  <c r="M193" i="9" s="1"/>
  <c r="L192" i="9"/>
  <c r="L191" i="9" s="1"/>
  <c r="I192" i="9"/>
  <c r="I191" i="9" s="1"/>
  <c r="H192" i="9"/>
  <c r="G192" i="9"/>
  <c r="F192" i="9"/>
  <c r="F191" i="9" s="1"/>
  <c r="E192" i="9"/>
  <c r="E191" i="9" s="1"/>
  <c r="D192" i="9"/>
  <c r="D191" i="9" s="1"/>
  <c r="H191" i="9"/>
  <c r="G191" i="9"/>
  <c r="J190" i="9"/>
  <c r="K190" i="9" s="1"/>
  <c r="M190" i="9" s="1"/>
  <c r="L189" i="9"/>
  <c r="I189" i="9"/>
  <c r="H189" i="9"/>
  <c r="G189" i="9"/>
  <c r="F189" i="9"/>
  <c r="E189" i="9"/>
  <c r="D189" i="9"/>
  <c r="J188" i="9"/>
  <c r="K188" i="9" s="1"/>
  <c r="J187" i="9"/>
  <c r="K187" i="9" s="1"/>
  <c r="M187" i="9" s="1"/>
  <c r="L186" i="9"/>
  <c r="I186" i="9"/>
  <c r="H186" i="9"/>
  <c r="G186" i="9"/>
  <c r="F186" i="9"/>
  <c r="E186" i="9"/>
  <c r="D186" i="9"/>
  <c r="J185" i="9"/>
  <c r="K185" i="9" s="1"/>
  <c r="M185" i="9" s="1"/>
  <c r="J184" i="9"/>
  <c r="K184" i="9" s="1"/>
  <c r="L184" i="9" s="1"/>
  <c r="M184" i="9" s="1"/>
  <c r="J183" i="9"/>
  <c r="K183" i="9" s="1"/>
  <c r="J182" i="9"/>
  <c r="K182" i="9" s="1"/>
  <c r="I181" i="9"/>
  <c r="H181" i="9"/>
  <c r="G181" i="9"/>
  <c r="F181" i="9"/>
  <c r="E181" i="9"/>
  <c r="D181" i="9"/>
  <c r="J180" i="9"/>
  <c r="K180" i="9" s="1"/>
  <c r="J179" i="9"/>
  <c r="K179" i="9" s="1"/>
  <c r="J178" i="9"/>
  <c r="K178" i="9" s="1"/>
  <c r="M178" i="9" s="1"/>
  <c r="J177" i="9"/>
  <c r="K177" i="9" s="1"/>
  <c r="M177" i="9" s="1"/>
  <c r="J176" i="9"/>
  <c r="K176" i="9" s="1"/>
  <c r="M176" i="9" s="1"/>
  <c r="J175" i="9"/>
  <c r="K175" i="9" s="1"/>
  <c r="L175" i="9" s="1"/>
  <c r="M175" i="9" s="1"/>
  <c r="J174" i="9"/>
  <c r="K174" i="9" s="1"/>
  <c r="L174" i="9" s="1"/>
  <c r="J173" i="9"/>
  <c r="K173" i="9" s="1"/>
  <c r="M173" i="9" s="1"/>
  <c r="J172" i="9"/>
  <c r="K172" i="9" s="1"/>
  <c r="M172" i="9" s="1"/>
  <c r="J171" i="9"/>
  <c r="K171" i="9" s="1"/>
  <c r="I170" i="9"/>
  <c r="H170" i="9"/>
  <c r="G170" i="9"/>
  <c r="F170" i="9"/>
  <c r="E170" i="9"/>
  <c r="D170" i="9"/>
  <c r="D169" i="9" s="1"/>
  <c r="M167" i="9"/>
  <c r="J167" i="9"/>
  <c r="K167" i="9" s="1"/>
  <c r="N167" i="9" s="1"/>
  <c r="L166" i="9"/>
  <c r="I166" i="9"/>
  <c r="I165" i="9" s="1"/>
  <c r="I164" i="9" s="1"/>
  <c r="H166" i="9"/>
  <c r="H165" i="9" s="1"/>
  <c r="H164" i="9" s="1"/>
  <c r="G166" i="9"/>
  <c r="G165" i="9" s="1"/>
  <c r="G164" i="9" s="1"/>
  <c r="F166" i="9"/>
  <c r="E166" i="9"/>
  <c r="D166" i="9"/>
  <c r="D165" i="9" s="1"/>
  <c r="L165" i="9"/>
  <c r="F165" i="9"/>
  <c r="F164" i="9" s="1"/>
  <c r="J163" i="9"/>
  <c r="K163" i="9" s="1"/>
  <c r="K162" i="9"/>
  <c r="I162" i="9"/>
  <c r="J162" i="9" s="1"/>
  <c r="L161" i="9"/>
  <c r="I161" i="9"/>
  <c r="H161" i="9"/>
  <c r="G161" i="9"/>
  <c r="F161" i="9"/>
  <c r="E161" i="9"/>
  <c r="D161" i="9"/>
  <c r="J160" i="9"/>
  <c r="K160" i="9" s="1"/>
  <c r="M160" i="9" s="1"/>
  <c r="L159" i="9"/>
  <c r="L158" i="9" s="1"/>
  <c r="I159" i="9"/>
  <c r="H159" i="9"/>
  <c r="G159" i="9"/>
  <c r="F159" i="9"/>
  <c r="F158" i="9" s="1"/>
  <c r="E159" i="9"/>
  <c r="D159" i="9"/>
  <c r="D158" i="9"/>
  <c r="J157" i="9"/>
  <c r="K157" i="9" s="1"/>
  <c r="J156" i="9"/>
  <c r="K156" i="9" s="1"/>
  <c r="L155" i="9"/>
  <c r="L154" i="9" s="1"/>
  <c r="I155" i="9"/>
  <c r="I154" i="9" s="1"/>
  <c r="H155" i="9"/>
  <c r="H154" i="9" s="1"/>
  <c r="G155" i="9"/>
  <c r="F155" i="9"/>
  <c r="F154" i="9" s="1"/>
  <c r="E155" i="9"/>
  <c r="D155" i="9"/>
  <c r="G154" i="9"/>
  <c r="D154" i="9"/>
  <c r="I152" i="9"/>
  <c r="J152" i="9" s="1"/>
  <c r="K152" i="9" s="1"/>
  <c r="H151" i="9"/>
  <c r="J151" i="9" s="1"/>
  <c r="K151" i="9" s="1"/>
  <c r="M151" i="9" s="1"/>
  <c r="L150" i="9"/>
  <c r="G150" i="9"/>
  <c r="F150" i="9"/>
  <c r="E150" i="9"/>
  <c r="D150" i="9"/>
  <c r="J149" i="9"/>
  <c r="K149" i="9" s="1"/>
  <c r="M149" i="9" s="1"/>
  <c r="L148" i="9"/>
  <c r="I148" i="9"/>
  <c r="H148" i="9"/>
  <c r="G148" i="9"/>
  <c r="F148" i="9"/>
  <c r="E148" i="9"/>
  <c r="D148" i="9"/>
  <c r="J147" i="9"/>
  <c r="K147" i="9" s="1"/>
  <c r="I146" i="9"/>
  <c r="J145" i="9"/>
  <c r="K145" i="9" s="1"/>
  <c r="M145" i="9" s="1"/>
  <c r="I144" i="9"/>
  <c r="J144" i="9" s="1"/>
  <c r="K144" i="9" s="1"/>
  <c r="M144" i="9" s="1"/>
  <c r="L143" i="9"/>
  <c r="H143" i="9"/>
  <c r="G143" i="9"/>
  <c r="F143" i="9"/>
  <c r="E143" i="9"/>
  <c r="D143" i="9"/>
  <c r="H142" i="9"/>
  <c r="J142" i="9" s="1"/>
  <c r="K142" i="9" s="1"/>
  <c r="N142" i="9" s="1"/>
  <c r="I141" i="9"/>
  <c r="J141" i="9" s="1"/>
  <c r="K141" i="9" s="1"/>
  <c r="M141" i="9" s="1"/>
  <c r="H140" i="9"/>
  <c r="J140" i="9" s="1"/>
  <c r="K140" i="9" s="1"/>
  <c r="M140" i="9" s="1"/>
  <c r="I139" i="9"/>
  <c r="J138" i="9"/>
  <c r="K138" i="9" s="1"/>
  <c r="N138" i="9" s="1"/>
  <c r="J137" i="9"/>
  <c r="K137" i="9" s="1"/>
  <c r="M137" i="9" s="1"/>
  <c r="L136" i="9"/>
  <c r="G136" i="9"/>
  <c r="F136" i="9"/>
  <c r="E136" i="9"/>
  <c r="D136" i="9"/>
  <c r="H135" i="9"/>
  <c r="J135" i="9" s="1"/>
  <c r="K135" i="9" s="1"/>
  <c r="N135" i="9" s="1"/>
  <c r="J134" i="9"/>
  <c r="K134" i="9" s="1"/>
  <c r="M134" i="9" s="1"/>
  <c r="I133" i="9"/>
  <c r="H133" i="9"/>
  <c r="L132" i="9"/>
  <c r="I132" i="9"/>
  <c r="G132" i="9"/>
  <c r="F132" i="9"/>
  <c r="E132" i="9"/>
  <c r="D132" i="9"/>
  <c r="H131" i="9"/>
  <c r="J131" i="9" s="1"/>
  <c r="K131" i="9" s="1"/>
  <c r="M131" i="9" s="1"/>
  <c r="I130" i="9"/>
  <c r="H130" i="9"/>
  <c r="H129" i="9"/>
  <c r="J129" i="9" s="1"/>
  <c r="K129" i="9" s="1"/>
  <c r="M129" i="9" s="1"/>
  <c r="J128" i="9"/>
  <c r="K128" i="9" s="1"/>
  <c r="M128" i="9" s="1"/>
  <c r="I127" i="9"/>
  <c r="I126" i="9" s="1"/>
  <c r="H127" i="9"/>
  <c r="H126" i="9" s="1"/>
  <c r="L126" i="9"/>
  <c r="G126" i="9"/>
  <c r="F126" i="9"/>
  <c r="E126" i="9"/>
  <c r="D126" i="9"/>
  <c r="J125" i="9"/>
  <c r="K125" i="9" s="1"/>
  <c r="N125" i="9" s="1"/>
  <c r="J124" i="9"/>
  <c r="K124" i="9" s="1"/>
  <c r="N124" i="9" s="1"/>
  <c r="I123" i="9"/>
  <c r="I121" i="9" s="1"/>
  <c r="H123" i="9"/>
  <c r="I122" i="9"/>
  <c r="J122" i="9" s="1"/>
  <c r="K122" i="9" s="1"/>
  <c r="N122" i="9" s="1"/>
  <c r="L121" i="9"/>
  <c r="H121" i="9"/>
  <c r="G121" i="9"/>
  <c r="F121" i="9"/>
  <c r="E121" i="9"/>
  <c r="D121" i="9"/>
  <c r="I120" i="9"/>
  <c r="J120" i="9" s="1"/>
  <c r="K120" i="9" s="1"/>
  <c r="N120" i="9" s="1"/>
  <c r="I119" i="9"/>
  <c r="J118" i="9"/>
  <c r="K118" i="9" s="1"/>
  <c r="J117" i="9"/>
  <c r="K117" i="9" s="1"/>
  <c r="M117" i="9" s="1"/>
  <c r="L116" i="9"/>
  <c r="H116" i="9"/>
  <c r="G116" i="9"/>
  <c r="G115" i="9" s="1"/>
  <c r="G114" i="9" s="1"/>
  <c r="G113" i="9" s="1"/>
  <c r="G112" i="9" s="1"/>
  <c r="G111" i="9" s="1"/>
  <c r="G110" i="9" s="1"/>
  <c r="F116" i="9"/>
  <c r="F115" i="9" s="1"/>
  <c r="F114" i="9" s="1"/>
  <c r="F113" i="9" s="1"/>
  <c r="F112" i="9" s="1"/>
  <c r="F111" i="9" s="1"/>
  <c r="F110" i="9" s="1"/>
  <c r="E116" i="9"/>
  <c r="E115" i="9" s="1"/>
  <c r="E114" i="9" s="1"/>
  <c r="E113" i="9" s="1"/>
  <c r="E112" i="9" s="1"/>
  <c r="E111" i="9" s="1"/>
  <c r="E110" i="9" s="1"/>
  <c r="D116" i="9"/>
  <c r="L110" i="9"/>
  <c r="I110" i="9"/>
  <c r="H110" i="9"/>
  <c r="D110" i="9"/>
  <c r="J109" i="9"/>
  <c r="K109" i="9" s="1"/>
  <c r="M109" i="9" s="1"/>
  <c r="J108" i="9"/>
  <c r="K108" i="9" s="1"/>
  <c r="M108" i="9" s="1"/>
  <c r="J107" i="9"/>
  <c r="K107" i="9" s="1"/>
  <c r="M107" i="9" s="1"/>
  <c r="J106" i="9"/>
  <c r="K106" i="9" s="1"/>
  <c r="M106" i="9" s="1"/>
  <c r="J105" i="9"/>
  <c r="K105" i="9" s="1"/>
  <c r="N105" i="9" s="1"/>
  <c r="J104" i="9"/>
  <c r="K104" i="9" s="1"/>
  <c r="M104" i="9" s="1"/>
  <c r="I103" i="9"/>
  <c r="I102" i="9"/>
  <c r="J102" i="9" s="1"/>
  <c r="K102" i="9" s="1"/>
  <c r="J101" i="9"/>
  <c r="K101" i="9" s="1"/>
  <c r="M101" i="9" s="1"/>
  <c r="I100" i="9"/>
  <c r="J100" i="9" s="1"/>
  <c r="K100" i="9" s="1"/>
  <c r="N100" i="9" s="1"/>
  <c r="H99" i="9"/>
  <c r="J99" i="9" s="1"/>
  <c r="K99" i="9" s="1"/>
  <c r="M99" i="9" s="1"/>
  <c r="L98" i="9"/>
  <c r="H98" i="9"/>
  <c r="G98" i="9"/>
  <c r="F98" i="9"/>
  <c r="E98" i="9"/>
  <c r="D98" i="9"/>
  <c r="J97" i="9"/>
  <c r="K97" i="9" s="1"/>
  <c r="N97" i="9" s="1"/>
  <c r="J96" i="9"/>
  <c r="K96" i="9" s="1"/>
  <c r="N96" i="9" s="1"/>
  <c r="I95" i="9"/>
  <c r="J95" i="9" s="1"/>
  <c r="K95" i="9" s="1"/>
  <c r="N95" i="9" s="1"/>
  <c r="J94" i="9"/>
  <c r="K94" i="9" s="1"/>
  <c r="M94" i="9" s="1"/>
  <c r="J93" i="9"/>
  <c r="K93" i="9" s="1"/>
  <c r="M93" i="9" s="1"/>
  <c r="J92" i="9"/>
  <c r="K92" i="9" s="1"/>
  <c r="J91" i="9"/>
  <c r="K91" i="9" s="1"/>
  <c r="M91" i="9" s="1"/>
  <c r="J90" i="9"/>
  <c r="K90" i="9" s="1"/>
  <c r="N90" i="9" s="1"/>
  <c r="J89" i="9"/>
  <c r="K89" i="9" s="1"/>
  <c r="N89" i="9" s="1"/>
  <c r="I88" i="9"/>
  <c r="J88" i="9" s="1"/>
  <c r="K88" i="9" s="1"/>
  <c r="M88" i="9" s="1"/>
  <c r="I87" i="9"/>
  <c r="I85" i="9" s="1"/>
  <c r="H87" i="9"/>
  <c r="H85" i="9" s="1"/>
  <c r="J86" i="9"/>
  <c r="K86" i="9" s="1"/>
  <c r="N86" i="9" s="1"/>
  <c r="L85" i="9"/>
  <c r="G85" i="9"/>
  <c r="F85" i="9"/>
  <c r="E85" i="9"/>
  <c r="D85" i="9"/>
  <c r="I84" i="9"/>
  <c r="I80" i="9" s="1"/>
  <c r="H83" i="9"/>
  <c r="J83" i="9" s="1"/>
  <c r="K83" i="9" s="1"/>
  <c r="M83" i="9" s="1"/>
  <c r="I82" i="9"/>
  <c r="J82" i="9" s="1"/>
  <c r="K82" i="9" s="1"/>
  <c r="M82" i="9" s="1"/>
  <c r="J81" i="9"/>
  <c r="K81" i="9" s="1"/>
  <c r="M81" i="9" s="1"/>
  <c r="L80" i="9"/>
  <c r="G80" i="9"/>
  <c r="F80" i="9"/>
  <c r="E80" i="9"/>
  <c r="D80" i="9"/>
  <c r="I79" i="9"/>
  <c r="J79" i="9" s="1"/>
  <c r="K79" i="9" s="1"/>
  <c r="M79" i="9" s="1"/>
  <c r="J78" i="9"/>
  <c r="K78" i="9" s="1"/>
  <c r="M78" i="9" s="1"/>
  <c r="H78" i="9"/>
  <c r="I77" i="9"/>
  <c r="J77" i="9" s="1"/>
  <c r="K77" i="9" s="1"/>
  <c r="M77" i="9" s="1"/>
  <c r="J76" i="9"/>
  <c r="K76" i="9" s="1"/>
  <c r="M76" i="9" s="1"/>
  <c r="I75" i="9"/>
  <c r="H75" i="9"/>
  <c r="J74" i="9"/>
  <c r="K74" i="9" s="1"/>
  <c r="M74" i="9" s="1"/>
  <c r="L73" i="9"/>
  <c r="G73" i="9"/>
  <c r="F73" i="9"/>
  <c r="E73" i="9"/>
  <c r="D73" i="9"/>
  <c r="J71" i="9"/>
  <c r="K71" i="9" s="1"/>
  <c r="M71" i="9" s="1"/>
  <c r="J70" i="9"/>
  <c r="K70" i="9" s="1"/>
  <c r="M70" i="9" s="1"/>
  <c r="L69" i="9"/>
  <c r="I69" i="9"/>
  <c r="I68" i="9" s="1"/>
  <c r="H69" i="9"/>
  <c r="H68" i="9" s="1"/>
  <c r="G69" i="9"/>
  <c r="G68" i="9" s="1"/>
  <c r="F69" i="9"/>
  <c r="F68" i="9" s="1"/>
  <c r="E69" i="9"/>
  <c r="E68" i="9" s="1"/>
  <c r="D69" i="9"/>
  <c r="J65" i="9"/>
  <c r="K65" i="9" s="1"/>
  <c r="M65" i="9" s="1"/>
  <c r="J64" i="9"/>
  <c r="K64" i="9" s="1"/>
  <c r="M64" i="9" s="1"/>
  <c r="J63" i="9"/>
  <c r="K63" i="9" s="1"/>
  <c r="J62" i="9"/>
  <c r="K62" i="9" s="1"/>
  <c r="M62" i="9" s="1"/>
  <c r="J61" i="9"/>
  <c r="K61" i="9" s="1"/>
  <c r="M61" i="9" s="1"/>
  <c r="J60" i="9"/>
  <c r="K60" i="9" s="1"/>
  <c r="M60" i="9" s="1"/>
  <c r="H59" i="9"/>
  <c r="J59" i="9" s="1"/>
  <c r="K59" i="9" s="1"/>
  <c r="M59" i="9" s="1"/>
  <c r="J58" i="9"/>
  <c r="K58" i="9" s="1"/>
  <c r="M58" i="9" s="1"/>
  <c r="J57" i="9"/>
  <c r="K57" i="9" s="1"/>
  <c r="M57" i="9" s="1"/>
  <c r="L56" i="9"/>
  <c r="I56" i="9"/>
  <c r="G56" i="9"/>
  <c r="F56" i="9"/>
  <c r="E56" i="9"/>
  <c r="D56" i="9"/>
  <c r="I55" i="9"/>
  <c r="J55" i="9" s="1"/>
  <c r="K55" i="9" s="1"/>
  <c r="J54" i="9"/>
  <c r="K54" i="9" s="1"/>
  <c r="M54" i="9" s="1"/>
  <c r="J53" i="9"/>
  <c r="K53" i="9" s="1"/>
  <c r="M53" i="9" s="1"/>
  <c r="H52" i="9"/>
  <c r="J52" i="9" s="1"/>
  <c r="K52" i="9" s="1"/>
  <c r="J51" i="9"/>
  <c r="K51" i="9" s="1"/>
  <c r="M51" i="9" s="1"/>
  <c r="L50" i="9"/>
  <c r="G50" i="9"/>
  <c r="F50" i="9"/>
  <c r="E50" i="9"/>
  <c r="D50" i="9"/>
  <c r="H48" i="9"/>
  <c r="J48" i="9" s="1"/>
  <c r="K48" i="9" s="1"/>
  <c r="I47" i="9"/>
  <c r="I44" i="9" s="1"/>
  <c r="H47" i="9"/>
  <c r="H46" i="9"/>
  <c r="J46" i="9" s="1"/>
  <c r="K46" i="9" s="1"/>
  <c r="H45" i="9"/>
  <c r="L44" i="9"/>
  <c r="G44" i="9"/>
  <c r="F44" i="9"/>
  <c r="E44" i="9"/>
  <c r="D44" i="9"/>
  <c r="H43" i="9"/>
  <c r="J43" i="9" s="1"/>
  <c r="K43" i="9" s="1"/>
  <c r="J42" i="9"/>
  <c r="K42" i="9" s="1"/>
  <c r="M42" i="9" s="1"/>
  <c r="H41" i="9"/>
  <c r="J41" i="9" s="1"/>
  <c r="K41" i="9" s="1"/>
  <c r="L40" i="9"/>
  <c r="I40" i="9"/>
  <c r="G40" i="9"/>
  <c r="F40" i="9"/>
  <c r="E40" i="9"/>
  <c r="D40" i="9"/>
  <c r="J39" i="9"/>
  <c r="K39" i="9" s="1"/>
  <c r="J38" i="9"/>
  <c r="K38" i="9" s="1"/>
  <c r="M38" i="9" s="1"/>
  <c r="I37" i="9"/>
  <c r="J37" i="9" s="1"/>
  <c r="K37" i="9" s="1"/>
  <c r="J36" i="9"/>
  <c r="K36" i="9" s="1"/>
  <c r="M36" i="9" s="1"/>
  <c r="I35" i="9"/>
  <c r="J35" i="9" s="1"/>
  <c r="K35" i="9" s="1"/>
  <c r="J34" i="9"/>
  <c r="K34" i="9" s="1"/>
  <c r="H33" i="9"/>
  <c r="J33" i="9" s="1"/>
  <c r="K33" i="9" s="1"/>
  <c r="J32" i="9"/>
  <c r="K32" i="9" s="1"/>
  <c r="M32" i="9" s="1"/>
  <c r="J31" i="9"/>
  <c r="K31" i="9" s="1"/>
  <c r="J30" i="9"/>
  <c r="K30" i="9" s="1"/>
  <c r="J29" i="9"/>
  <c r="K29" i="9" s="1"/>
  <c r="M29" i="9" s="1"/>
  <c r="J28" i="9"/>
  <c r="K28" i="9" s="1"/>
  <c r="M28" i="9" s="1"/>
  <c r="J27" i="9"/>
  <c r="K27" i="9" s="1"/>
  <c r="M27" i="9" s="1"/>
  <c r="L26" i="9"/>
  <c r="H26" i="9"/>
  <c r="G26" i="9"/>
  <c r="F26" i="9"/>
  <c r="E26" i="9"/>
  <c r="D26" i="9"/>
  <c r="J25" i="9"/>
  <c r="K25" i="9" s="1"/>
  <c r="M25" i="9" s="1"/>
  <c r="J24" i="9"/>
  <c r="K24" i="9" s="1"/>
  <c r="M24" i="9" s="1"/>
  <c r="J23" i="9"/>
  <c r="K23" i="9" s="1"/>
  <c r="M23" i="9" s="1"/>
  <c r="J22" i="9"/>
  <c r="K22" i="9" s="1"/>
  <c r="M22" i="9" s="1"/>
  <c r="L21" i="9"/>
  <c r="I21" i="9"/>
  <c r="H21" i="9"/>
  <c r="G21" i="9"/>
  <c r="F21" i="9"/>
  <c r="E21" i="9"/>
  <c r="D21" i="9"/>
  <c r="J20" i="9"/>
  <c r="K20" i="9" s="1"/>
  <c r="M20" i="9" s="1"/>
  <c r="J19" i="9"/>
  <c r="K19" i="9" s="1"/>
  <c r="M19" i="9" s="1"/>
  <c r="J18" i="9"/>
  <c r="K18" i="9" s="1"/>
  <c r="M18" i="9" s="1"/>
  <c r="J17" i="9"/>
  <c r="K17" i="9" s="1"/>
  <c r="J16" i="9"/>
  <c r="K16" i="9" s="1"/>
  <c r="M16" i="9" s="1"/>
  <c r="L15" i="9"/>
  <c r="I15" i="9"/>
  <c r="H15" i="9"/>
  <c r="G15" i="9"/>
  <c r="F15" i="9"/>
  <c r="E15" i="9"/>
  <c r="D15" i="9"/>
  <c r="D14" i="9" s="1"/>
  <c r="L153" i="9" l="1"/>
  <c r="H50" i="9"/>
  <c r="J84" i="9"/>
  <c r="K84" i="9" s="1"/>
  <c r="M84" i="9" s="1"/>
  <c r="I150" i="9"/>
  <c r="G56" i="10"/>
  <c r="I107" i="10"/>
  <c r="L14" i="8"/>
  <c r="D14" i="8"/>
  <c r="D13" i="8" s="1"/>
  <c r="D12" i="8" s="1"/>
  <c r="H30" i="8"/>
  <c r="I34" i="8"/>
  <c r="N98" i="8"/>
  <c r="N118" i="8"/>
  <c r="G124" i="8"/>
  <c r="G119" i="8" s="1"/>
  <c r="J75" i="9"/>
  <c r="K75" i="9" s="1"/>
  <c r="M75" i="9" s="1"/>
  <c r="H80" i="9"/>
  <c r="J80" i="9" s="1"/>
  <c r="K80" i="9" s="1"/>
  <c r="M80" i="9" s="1"/>
  <c r="F56" i="10"/>
  <c r="I57" i="10"/>
  <c r="I78" i="10"/>
  <c r="J89" i="10"/>
  <c r="K89" i="10" s="1"/>
  <c r="N89" i="10" s="1"/>
  <c r="J156" i="10"/>
  <c r="M106" i="8"/>
  <c r="I117" i="8"/>
  <c r="I124" i="8"/>
  <c r="I119" i="8" s="1"/>
  <c r="H44" i="9"/>
  <c r="J130" i="9"/>
  <c r="K130" i="9" s="1"/>
  <c r="M130" i="9" s="1"/>
  <c r="J155" i="9"/>
  <c r="K155" i="9" s="1"/>
  <c r="J80" i="10"/>
  <c r="K80" i="10" s="1"/>
  <c r="N80" i="10" s="1"/>
  <c r="I95" i="10"/>
  <c r="G139" i="10"/>
  <c r="J175" i="10"/>
  <c r="H14" i="8"/>
  <c r="L40" i="8"/>
  <c r="I78" i="8"/>
  <c r="D57" i="8"/>
  <c r="I108" i="8"/>
  <c r="I57" i="8" s="1"/>
  <c r="I52" i="8" s="1"/>
  <c r="I51" i="8" s="1"/>
  <c r="I11" i="8" s="1"/>
  <c r="J158" i="8"/>
  <c r="H138" i="10"/>
  <c r="D138" i="10"/>
  <c r="N111" i="8"/>
  <c r="M111" i="8"/>
  <c r="N93" i="8"/>
  <c r="M93" i="8"/>
  <c r="J100" i="10"/>
  <c r="K100" i="10" s="1"/>
  <c r="M115" i="10"/>
  <c r="J100" i="8"/>
  <c r="F169" i="9"/>
  <c r="F168" i="9" s="1"/>
  <c r="I26" i="9"/>
  <c r="J26" i="9" s="1"/>
  <c r="K26" i="9" s="1"/>
  <c r="M26" i="9" s="1"/>
  <c r="H56" i="9"/>
  <c r="J123" i="9"/>
  <c r="K123" i="9" s="1"/>
  <c r="H158" i="9"/>
  <c r="H78" i="10"/>
  <c r="H56" i="10" s="1"/>
  <c r="H51" i="10" s="1"/>
  <c r="H50" i="10" s="1"/>
  <c r="J95" i="10"/>
  <c r="I100" i="10"/>
  <c r="G138" i="10"/>
  <c r="J17" i="8"/>
  <c r="K17" i="8" s="1"/>
  <c r="K15" i="8" s="1"/>
  <c r="M15" i="8" s="1"/>
  <c r="N24" i="8"/>
  <c r="G14" i="8"/>
  <c r="G13" i="8" s="1"/>
  <c r="G12" i="8" s="1"/>
  <c r="M32" i="8"/>
  <c r="H34" i="8"/>
  <c r="H13" i="8" s="1"/>
  <c r="H12" i="8" s="1"/>
  <c r="I40" i="8"/>
  <c r="M94" i="8"/>
  <c r="J115" i="8"/>
  <c r="K115" i="8" s="1"/>
  <c r="J117" i="8"/>
  <c r="K117" i="8" s="1"/>
  <c r="N117" i="8" s="1"/>
  <c r="H138" i="8"/>
  <c r="H137" i="8" s="1"/>
  <c r="G138" i="8"/>
  <c r="J161" i="8"/>
  <c r="K161" i="8" s="1"/>
  <c r="M161" i="8" s="1"/>
  <c r="G163" i="8"/>
  <c r="G137" i="8" s="1"/>
  <c r="F175" i="8"/>
  <c r="J175" i="8" s="1"/>
  <c r="J155" i="8"/>
  <c r="F51" i="10"/>
  <c r="F50" i="10" s="1"/>
  <c r="J45" i="9"/>
  <c r="K45" i="9" s="1"/>
  <c r="M45" i="9" s="1"/>
  <c r="J148" i="9"/>
  <c r="K148" i="9" s="1"/>
  <c r="M148" i="9" s="1"/>
  <c r="F153" i="9"/>
  <c r="J172" i="10"/>
  <c r="K172" i="10" s="1"/>
  <c r="M172" i="10" s="1"/>
  <c r="E174" i="10"/>
  <c r="N28" i="8"/>
  <c r="I30" i="8"/>
  <c r="I14" i="8" s="1"/>
  <c r="I13" i="8" s="1"/>
  <c r="I12" i="8" s="1"/>
  <c r="N49" i="8"/>
  <c r="I92" i="8"/>
  <c r="M96" i="8"/>
  <c r="N101" i="8"/>
  <c r="I138" i="8"/>
  <c r="H45" i="8"/>
  <c r="H40" i="8" s="1"/>
  <c r="H40" i="9"/>
  <c r="E154" i="9"/>
  <c r="D39" i="10"/>
  <c r="I66" i="10"/>
  <c r="I92" i="10"/>
  <c r="L119" i="10"/>
  <c r="J125" i="10"/>
  <c r="K125" i="10" s="1"/>
  <c r="I140" i="10"/>
  <c r="I139" i="10" s="1"/>
  <c r="J139" i="10" s="1"/>
  <c r="K139" i="10" s="1"/>
  <c r="N139" i="10" s="1"/>
  <c r="M18" i="8"/>
  <c r="J37" i="8"/>
  <c r="K37" i="8" s="1"/>
  <c r="F14" i="9"/>
  <c r="H49" i="9"/>
  <c r="D168" i="9"/>
  <c r="J44" i="10"/>
  <c r="K44" i="10" s="1"/>
  <c r="N44" i="10" s="1"/>
  <c r="J53" i="10"/>
  <c r="K53" i="10" s="1"/>
  <c r="E56" i="10"/>
  <c r="H111" i="10"/>
  <c r="J111" i="10" s="1"/>
  <c r="K111" i="10" s="1"/>
  <c r="G124" i="10"/>
  <c r="G119" i="10" s="1"/>
  <c r="J135" i="10"/>
  <c r="N26" i="8"/>
  <c r="I67" i="8"/>
  <c r="J67" i="8" s="1"/>
  <c r="K67" i="8" s="1"/>
  <c r="H95" i="8"/>
  <c r="H57" i="8" s="1"/>
  <c r="H52" i="8" s="1"/>
  <c r="H51" i="8" s="1"/>
  <c r="M114" i="8"/>
  <c r="M122" i="8"/>
  <c r="J112" i="8"/>
  <c r="K112" i="8" s="1"/>
  <c r="N112" i="8" s="1"/>
  <c r="I73" i="9"/>
  <c r="H132" i="9"/>
  <c r="H87" i="10"/>
  <c r="J87" i="10" s="1"/>
  <c r="K87" i="10" s="1"/>
  <c r="J162" i="10"/>
  <c r="J164" i="10"/>
  <c r="K164" i="10" s="1"/>
  <c r="M164" i="10" s="1"/>
  <c r="I105" i="8"/>
  <c r="J105" i="8" s="1"/>
  <c r="K105" i="8" s="1"/>
  <c r="E124" i="8"/>
  <c r="F138" i="8"/>
  <c r="J138" i="8" s="1"/>
  <c r="J152" i="8"/>
  <c r="K152" i="8" s="1"/>
  <c r="H136" i="9"/>
  <c r="I39" i="10"/>
  <c r="G51" i="10"/>
  <c r="G50" i="10" s="1"/>
  <c r="J63" i="10"/>
  <c r="K63" i="10" s="1"/>
  <c r="M63" i="10" s="1"/>
  <c r="F119" i="10"/>
  <c r="J131" i="10"/>
  <c r="K131" i="10" s="1"/>
  <c r="J133" i="10"/>
  <c r="K133" i="10" s="1"/>
  <c r="J22" i="8"/>
  <c r="J64" i="8"/>
  <c r="J78" i="8"/>
  <c r="K78" i="8" s="1"/>
  <c r="J92" i="8"/>
  <c r="K92" i="8" s="1"/>
  <c r="N92" i="8" s="1"/>
  <c r="E160" i="8"/>
  <c r="J160" i="8" s="1"/>
  <c r="K160" i="8" s="1"/>
  <c r="M160" i="8" s="1"/>
  <c r="J130" i="8"/>
  <c r="K130" i="8" s="1"/>
  <c r="J45" i="8"/>
  <c r="K45" i="8" s="1"/>
  <c r="N45" i="8" s="1"/>
  <c r="N47" i="8"/>
  <c r="F14" i="8"/>
  <c r="F13" i="8" s="1"/>
  <c r="F12" i="8" s="1"/>
  <c r="J19" i="8"/>
  <c r="K19" i="8" s="1"/>
  <c r="J192" i="9"/>
  <c r="K192" i="9" s="1"/>
  <c r="M192" i="9" s="1"/>
  <c r="H169" i="9"/>
  <c r="H168" i="9" s="1"/>
  <c r="J186" i="9"/>
  <c r="J161" i="9"/>
  <c r="K161" i="9" s="1"/>
  <c r="J126" i="9"/>
  <c r="K126" i="9" s="1"/>
  <c r="N126" i="9" s="1"/>
  <c r="M125" i="9"/>
  <c r="J121" i="9"/>
  <c r="J111" i="9"/>
  <c r="K111" i="9" s="1"/>
  <c r="M111" i="9" s="1"/>
  <c r="J115" i="9"/>
  <c r="K115" i="9" s="1"/>
  <c r="N115" i="9" s="1"/>
  <c r="J113" i="9"/>
  <c r="K113" i="9" s="1"/>
  <c r="M113" i="9" s="1"/>
  <c r="J112" i="9"/>
  <c r="K112" i="9" s="1"/>
  <c r="N112" i="9" s="1"/>
  <c r="J114" i="9"/>
  <c r="K114" i="9" s="1"/>
  <c r="BB114" i="9" s="1"/>
  <c r="F72" i="9"/>
  <c r="F67" i="9" s="1"/>
  <c r="F66" i="9" s="1"/>
  <c r="G72" i="9"/>
  <c r="G67" i="9" s="1"/>
  <c r="G66" i="9" s="1"/>
  <c r="E72" i="9"/>
  <c r="E67" i="9" s="1"/>
  <c r="G49" i="9"/>
  <c r="J56" i="9"/>
  <c r="K56" i="9" s="1"/>
  <c r="N56" i="9" s="1"/>
  <c r="F49" i="9"/>
  <c r="F13" i="9" s="1"/>
  <c r="F12" i="9" s="1"/>
  <c r="E49" i="9"/>
  <c r="J44" i="9"/>
  <c r="K44" i="9" s="1"/>
  <c r="J40" i="9"/>
  <c r="H14" i="9"/>
  <c r="J21" i="9"/>
  <c r="K21" i="9" s="1"/>
  <c r="N21" i="9" s="1"/>
  <c r="J15" i="9"/>
  <c r="N37" i="8"/>
  <c r="M37" i="8"/>
  <c r="P37" i="8" s="1"/>
  <c r="L13" i="8"/>
  <c r="J15" i="8"/>
  <c r="M16" i="8"/>
  <c r="K22" i="8"/>
  <c r="N22" i="8" s="1"/>
  <c r="J35" i="8"/>
  <c r="K35" i="8" s="1"/>
  <c r="N43" i="8"/>
  <c r="M43" i="8"/>
  <c r="D40" i="8"/>
  <c r="N46" i="8"/>
  <c r="M46" i="8"/>
  <c r="M48" i="8"/>
  <c r="N48" i="8"/>
  <c r="D53" i="8"/>
  <c r="J54" i="8"/>
  <c r="K54" i="8" s="1"/>
  <c r="M55" i="8"/>
  <c r="N55" i="8"/>
  <c r="M68" i="8"/>
  <c r="N68" i="8"/>
  <c r="N78" i="8"/>
  <c r="M78" i="8"/>
  <c r="N16" i="8"/>
  <c r="M21" i="8"/>
  <c r="M22" i="8"/>
  <c r="N23" i="8"/>
  <c r="N25" i="8"/>
  <c r="N27" i="8"/>
  <c r="N29" i="8"/>
  <c r="J30" i="8"/>
  <c r="K30" i="8" s="1"/>
  <c r="E14" i="8"/>
  <c r="N31" i="8"/>
  <c r="J41" i="8"/>
  <c r="K41" i="8" s="1"/>
  <c r="E40" i="8"/>
  <c r="J40" i="8" s="1"/>
  <c r="N42" i="8"/>
  <c r="M42" i="8"/>
  <c r="N44" i="8"/>
  <c r="M44" i="8"/>
  <c r="M50" i="8"/>
  <c r="N50" i="8"/>
  <c r="M72" i="8"/>
  <c r="N72" i="8"/>
  <c r="M75" i="8"/>
  <c r="N75" i="8"/>
  <c r="M82" i="8"/>
  <c r="N82" i="8"/>
  <c r="J89" i="8"/>
  <c r="K89" i="8" s="1"/>
  <c r="I87" i="8"/>
  <c r="J87" i="8" s="1"/>
  <c r="K100" i="8"/>
  <c r="N100" i="8" s="1"/>
  <c r="J135" i="8"/>
  <c r="K135" i="8" s="1"/>
  <c r="E134" i="8"/>
  <c r="N136" i="8"/>
  <c r="M136" i="8"/>
  <c r="M141" i="8"/>
  <c r="L139" i="8"/>
  <c r="J53" i="8"/>
  <c r="L53" i="8"/>
  <c r="F57" i="8"/>
  <c r="F52" i="8" s="1"/>
  <c r="F51" i="8" s="1"/>
  <c r="F11" i="8" s="1"/>
  <c r="J58" i="8"/>
  <c r="K58" i="8" s="1"/>
  <c r="M58" i="8" s="1"/>
  <c r="E57" i="8"/>
  <c r="G57" i="8"/>
  <c r="G52" i="8" s="1"/>
  <c r="G51" i="8" s="1"/>
  <c r="G11" i="8" s="1"/>
  <c r="K64" i="8"/>
  <c r="M69" i="8"/>
  <c r="M70" i="8"/>
  <c r="M71" i="8"/>
  <c r="M73" i="8"/>
  <c r="M74" i="8"/>
  <c r="N76" i="8"/>
  <c r="M79" i="8"/>
  <c r="M80" i="8"/>
  <c r="M81" i="8"/>
  <c r="K87" i="8"/>
  <c r="N87" i="8" s="1"/>
  <c r="M88" i="8"/>
  <c r="M90" i="8"/>
  <c r="N97" i="8"/>
  <c r="M99" i="8"/>
  <c r="J102" i="8"/>
  <c r="K102" i="8" s="1"/>
  <c r="N104" i="8"/>
  <c r="M110" i="8"/>
  <c r="N110" i="8"/>
  <c r="L119" i="8"/>
  <c r="D124" i="8"/>
  <c r="H125" i="8"/>
  <c r="H124" i="8" s="1"/>
  <c r="H119" i="8" s="1"/>
  <c r="J125" i="8"/>
  <c r="K125" i="8" s="1"/>
  <c r="L163" i="8"/>
  <c r="J173" i="8"/>
  <c r="K173" i="8" s="1"/>
  <c r="M173" i="8" s="1"/>
  <c r="E163" i="8"/>
  <c r="K175" i="8"/>
  <c r="K176" i="8"/>
  <c r="M176" i="8" s="1"/>
  <c r="J109" i="8"/>
  <c r="K109" i="8" s="1"/>
  <c r="F119" i="8"/>
  <c r="J121" i="8"/>
  <c r="K121" i="8" s="1"/>
  <c r="E120" i="8"/>
  <c r="L124" i="8"/>
  <c r="M153" i="8"/>
  <c r="F137" i="8"/>
  <c r="D163" i="8"/>
  <c r="D133" i="8"/>
  <c r="L133" i="8"/>
  <c r="D138" i="8"/>
  <c r="J139" i="8"/>
  <c r="K139" i="8" s="1"/>
  <c r="N139" i="8" s="1"/>
  <c r="N154" i="8"/>
  <c r="L154" i="8"/>
  <c r="M154" i="8" s="1"/>
  <c r="K155" i="8"/>
  <c r="M155" i="8" s="1"/>
  <c r="K158" i="8"/>
  <c r="M158" i="8" s="1"/>
  <c r="J167" i="8"/>
  <c r="K167" i="8" s="1"/>
  <c r="M167" i="8" s="1"/>
  <c r="I164" i="8"/>
  <c r="I163" i="8" s="1"/>
  <c r="I137" i="8" s="1"/>
  <c r="M175" i="8"/>
  <c r="J37" i="10"/>
  <c r="K37" i="10" s="1"/>
  <c r="N37" i="10" s="1"/>
  <c r="I104" i="10"/>
  <c r="J104" i="10" s="1"/>
  <c r="K104" i="10" s="1"/>
  <c r="J121" i="10"/>
  <c r="K121" i="10" s="1"/>
  <c r="K175" i="10"/>
  <c r="M175" i="10" s="1"/>
  <c r="J159" i="10"/>
  <c r="K159" i="10" s="1"/>
  <c r="M159" i="10" s="1"/>
  <c r="E161" i="10"/>
  <c r="E138" i="10" s="1"/>
  <c r="J174" i="10"/>
  <c r="K174" i="10" s="1"/>
  <c r="I119" i="10"/>
  <c r="F14" i="10"/>
  <c r="F13" i="10" s="1"/>
  <c r="F12" i="10" s="1"/>
  <c r="F11" i="10" s="1"/>
  <c r="F179" i="10" s="1"/>
  <c r="M17" i="10"/>
  <c r="M18" i="10"/>
  <c r="G39" i="10"/>
  <c r="G13" i="10" s="1"/>
  <c r="G12" i="10" s="1"/>
  <c r="J60" i="10"/>
  <c r="K60" i="10" s="1"/>
  <c r="M60" i="10" s="1"/>
  <c r="J61" i="10"/>
  <c r="K61" i="10" s="1"/>
  <c r="M61" i="10" s="1"/>
  <c r="J92" i="10"/>
  <c r="K95" i="10"/>
  <c r="N95" i="10" s="1"/>
  <c r="J107" i="10"/>
  <c r="K107" i="10" s="1"/>
  <c r="M107" i="10" s="1"/>
  <c r="H117" i="10"/>
  <c r="J117" i="10" s="1"/>
  <c r="K117" i="10" s="1"/>
  <c r="E120" i="10"/>
  <c r="J120" i="10" s="1"/>
  <c r="K120" i="10" s="1"/>
  <c r="N120" i="10" s="1"/>
  <c r="E124" i="10"/>
  <c r="J134" i="10"/>
  <c r="K134" i="10" s="1"/>
  <c r="N134" i="10" s="1"/>
  <c r="K135" i="10"/>
  <c r="N135" i="10" s="1"/>
  <c r="J140" i="10"/>
  <c r="K140" i="10" s="1"/>
  <c r="N140" i="10" s="1"/>
  <c r="J153" i="10"/>
  <c r="K153" i="10" s="1"/>
  <c r="K156" i="10"/>
  <c r="M156" i="10" s="1"/>
  <c r="J161" i="10"/>
  <c r="K161" i="10" s="1"/>
  <c r="M161" i="10" s="1"/>
  <c r="K162" i="10"/>
  <c r="J165" i="10"/>
  <c r="L14" i="10"/>
  <c r="N24" i="10"/>
  <c r="M24" i="10"/>
  <c r="M26" i="10"/>
  <c r="N26" i="10"/>
  <c r="N27" i="10"/>
  <c r="M27" i="10"/>
  <c r="N33" i="10"/>
  <c r="M33" i="10"/>
  <c r="M36" i="10"/>
  <c r="N36" i="10"/>
  <c r="N42" i="10"/>
  <c r="M42" i="10"/>
  <c r="N46" i="10"/>
  <c r="M46" i="10"/>
  <c r="N48" i="10"/>
  <c r="M48" i="10"/>
  <c r="N68" i="10"/>
  <c r="M68" i="10"/>
  <c r="N71" i="10"/>
  <c r="M71" i="10"/>
  <c r="M75" i="10"/>
  <c r="N75" i="10"/>
  <c r="N76" i="10"/>
  <c r="M76" i="10"/>
  <c r="M81" i="10"/>
  <c r="N81" i="10"/>
  <c r="E14" i="10"/>
  <c r="J16" i="10"/>
  <c r="K16" i="10" s="1"/>
  <c r="H15" i="10"/>
  <c r="J15" i="10" s="1"/>
  <c r="D14" i="10"/>
  <c r="D13" i="10" s="1"/>
  <c r="D12" i="10" s="1"/>
  <c r="J19" i="10"/>
  <c r="K19" i="10" s="1"/>
  <c r="N21" i="10"/>
  <c r="M21" i="10"/>
  <c r="N23" i="10"/>
  <c r="M23" i="10"/>
  <c r="N25" i="10"/>
  <c r="M25" i="10"/>
  <c r="M28" i="10"/>
  <c r="N28" i="10"/>
  <c r="M34" i="10"/>
  <c r="N34" i="10"/>
  <c r="M37" i="10"/>
  <c r="P37" i="10" s="1"/>
  <c r="N41" i="10"/>
  <c r="M41" i="10"/>
  <c r="M43" i="10"/>
  <c r="N43" i="10"/>
  <c r="N45" i="10"/>
  <c r="M45" i="10"/>
  <c r="N47" i="10"/>
  <c r="M47" i="10"/>
  <c r="N49" i="10"/>
  <c r="M49" i="10"/>
  <c r="N53" i="10"/>
  <c r="M53" i="10"/>
  <c r="N54" i="10"/>
  <c r="M54" i="10"/>
  <c r="K57" i="10"/>
  <c r="M57" i="10" s="1"/>
  <c r="J66" i="10"/>
  <c r="K66" i="10" s="1"/>
  <c r="N70" i="10"/>
  <c r="M70" i="10"/>
  <c r="M72" i="10"/>
  <c r="N72" i="10"/>
  <c r="N74" i="10"/>
  <c r="M74" i="10"/>
  <c r="M77" i="10"/>
  <c r="N77" i="10"/>
  <c r="J78" i="10"/>
  <c r="K78" i="10" s="1"/>
  <c r="N30" i="10"/>
  <c r="J57" i="10"/>
  <c r="J67" i="10"/>
  <c r="K67" i="10" s="1"/>
  <c r="N73" i="10"/>
  <c r="J79" i="10"/>
  <c r="K79" i="10" s="1"/>
  <c r="M90" i="10"/>
  <c r="N90" i="10"/>
  <c r="K92" i="10"/>
  <c r="N92" i="10" s="1"/>
  <c r="N94" i="10"/>
  <c r="M94" i="10"/>
  <c r="N96" i="10"/>
  <c r="M96" i="10"/>
  <c r="M97" i="10"/>
  <c r="N97" i="10"/>
  <c r="N99" i="10"/>
  <c r="M99" i="10"/>
  <c r="N101" i="10"/>
  <c r="M101" i="10"/>
  <c r="N103" i="10"/>
  <c r="M103" i="10"/>
  <c r="M105" i="10"/>
  <c r="N105" i="10"/>
  <c r="N110" i="10"/>
  <c r="M110" i="10"/>
  <c r="M113" i="10"/>
  <c r="N113" i="10"/>
  <c r="I22" i="10"/>
  <c r="I14" i="10" s="1"/>
  <c r="I13" i="10" s="1"/>
  <c r="I12" i="10" s="1"/>
  <c r="H32" i="10"/>
  <c r="J32" i="10" s="1"/>
  <c r="K32" i="10" s="1"/>
  <c r="H35" i="10"/>
  <c r="J35" i="10" s="1"/>
  <c r="K35" i="10" s="1"/>
  <c r="E39" i="10"/>
  <c r="H40" i="10"/>
  <c r="H39" i="10" s="1"/>
  <c r="E52" i="10"/>
  <c r="D56" i="10"/>
  <c r="D51" i="10" s="1"/>
  <c r="L56" i="10"/>
  <c r="M82" i="10"/>
  <c r="N88" i="10"/>
  <c r="M88" i="10"/>
  <c r="M93" i="10"/>
  <c r="N93" i="10"/>
  <c r="M95" i="10"/>
  <c r="M98" i="10"/>
  <c r="N98" i="10"/>
  <c r="N106" i="10"/>
  <c r="M106" i="10"/>
  <c r="N108" i="10"/>
  <c r="M108" i="10"/>
  <c r="M109" i="10"/>
  <c r="N109" i="10"/>
  <c r="N114" i="10"/>
  <c r="M114" i="10"/>
  <c r="M118" i="10"/>
  <c r="N118" i="10"/>
  <c r="M120" i="10"/>
  <c r="N122" i="10"/>
  <c r="M122" i="10"/>
  <c r="M148" i="10"/>
  <c r="L140" i="10"/>
  <c r="N155" i="10"/>
  <c r="L155" i="10"/>
  <c r="M155" i="10" s="1"/>
  <c r="K165" i="10"/>
  <c r="M165" i="10" s="1"/>
  <c r="N123" i="10"/>
  <c r="M123" i="10"/>
  <c r="M154" i="10"/>
  <c r="M162" i="10"/>
  <c r="N137" i="10"/>
  <c r="M92" i="9"/>
  <c r="N92" i="9"/>
  <c r="N102" i="9"/>
  <c r="M102" i="9"/>
  <c r="M147" i="9"/>
  <c r="N147" i="9"/>
  <c r="N152" i="9"/>
  <c r="M152" i="9"/>
  <c r="M135" i="9"/>
  <c r="M138" i="9"/>
  <c r="H153" i="9"/>
  <c r="J191" i="9"/>
  <c r="G14" i="9"/>
  <c r="J47" i="9"/>
  <c r="K47" i="9" s="1"/>
  <c r="M47" i="9" s="1"/>
  <c r="J68" i="9"/>
  <c r="H73" i="9"/>
  <c r="N94" i="9"/>
  <c r="J110" i="9"/>
  <c r="K110" i="9" s="1"/>
  <c r="N110" i="9" s="1"/>
  <c r="M112" i="9"/>
  <c r="M120" i="9"/>
  <c r="M122" i="9"/>
  <c r="M124" i="9"/>
  <c r="H150" i="9"/>
  <c r="G169" i="9"/>
  <c r="G168" i="9" s="1"/>
  <c r="I169" i="9"/>
  <c r="I168" i="9" s="1"/>
  <c r="J189" i="9"/>
  <c r="K189" i="9" s="1"/>
  <c r="M189" i="9" s="1"/>
  <c r="N30" i="9"/>
  <c r="M30" i="9"/>
  <c r="N33" i="9"/>
  <c r="M33" i="9"/>
  <c r="M35" i="9"/>
  <c r="N35" i="9"/>
  <c r="N43" i="9"/>
  <c r="M43" i="9"/>
  <c r="M52" i="9"/>
  <c r="N52" i="9"/>
  <c r="N63" i="9"/>
  <c r="M63" i="9"/>
  <c r="H13" i="9"/>
  <c r="H12" i="9" s="1"/>
  <c r="L14" i="9"/>
  <c r="N17" i="9"/>
  <c r="K15" i="9"/>
  <c r="M15" i="9" s="1"/>
  <c r="M17" i="9"/>
  <c r="N31" i="9"/>
  <c r="M31" i="9"/>
  <c r="M37" i="9"/>
  <c r="N37" i="9"/>
  <c r="N41" i="9"/>
  <c r="K40" i="9"/>
  <c r="N40" i="9" s="1"/>
  <c r="M41" i="9"/>
  <c r="N46" i="9"/>
  <c r="M46" i="9"/>
  <c r="N48" i="9"/>
  <c r="M48" i="9"/>
  <c r="P48" i="9" s="1"/>
  <c r="M55" i="9"/>
  <c r="N55" i="9"/>
  <c r="N123" i="9"/>
  <c r="M123" i="9"/>
  <c r="N19" i="9"/>
  <c r="N20" i="9"/>
  <c r="N25" i="9"/>
  <c r="N28" i="9"/>
  <c r="N53" i="9"/>
  <c r="N58" i="9"/>
  <c r="N60" i="9"/>
  <c r="N61" i="9"/>
  <c r="N65" i="9"/>
  <c r="J69" i="9"/>
  <c r="K69" i="9" s="1"/>
  <c r="N70" i="9"/>
  <c r="N71" i="9"/>
  <c r="J87" i="9"/>
  <c r="K87" i="9" s="1"/>
  <c r="J133" i="9"/>
  <c r="K133" i="9" s="1"/>
  <c r="J154" i="9"/>
  <c r="N155" i="9"/>
  <c r="M155" i="9"/>
  <c r="N156" i="9"/>
  <c r="M156" i="9"/>
  <c r="L164" i="9"/>
  <c r="M171" i="9"/>
  <c r="K170" i="9"/>
  <c r="N170" i="9" s="1"/>
  <c r="M174" i="9"/>
  <c r="L170" i="9"/>
  <c r="J181" i="9"/>
  <c r="E169" i="9"/>
  <c r="M188" i="9"/>
  <c r="K186" i="9"/>
  <c r="M186" i="9" s="1"/>
  <c r="E14" i="9"/>
  <c r="D49" i="9"/>
  <c r="D13" i="9" s="1"/>
  <c r="D12" i="9" s="1"/>
  <c r="L49" i="9"/>
  <c r="I50" i="9"/>
  <c r="I49" i="9" s="1"/>
  <c r="D68" i="9"/>
  <c r="L68" i="9"/>
  <c r="D72" i="9"/>
  <c r="L72" i="9"/>
  <c r="J85" i="9"/>
  <c r="K85" i="9" s="1"/>
  <c r="M86" i="9"/>
  <c r="M89" i="9"/>
  <c r="M90" i="9"/>
  <c r="N93" i="9"/>
  <c r="M95" i="9"/>
  <c r="M96" i="9"/>
  <c r="M97" i="9"/>
  <c r="M100" i="9"/>
  <c r="J103" i="9"/>
  <c r="K103" i="9" s="1"/>
  <c r="I98" i="9"/>
  <c r="J98" i="9" s="1"/>
  <c r="K98" i="9" s="1"/>
  <c r="M105" i="9"/>
  <c r="J119" i="9"/>
  <c r="K119" i="9" s="1"/>
  <c r="I116" i="9"/>
  <c r="J116" i="9" s="1"/>
  <c r="K116" i="9" s="1"/>
  <c r="K121" i="9"/>
  <c r="N121" i="9" s="1"/>
  <c r="J127" i="9"/>
  <c r="K127" i="9" s="1"/>
  <c r="N129" i="9"/>
  <c r="N131" i="9"/>
  <c r="J132" i="9"/>
  <c r="K132" i="9" s="1"/>
  <c r="J139" i="9"/>
  <c r="K139" i="9" s="1"/>
  <c r="M139" i="9" s="1"/>
  <c r="I136" i="9"/>
  <c r="J136" i="9" s="1"/>
  <c r="K136" i="9" s="1"/>
  <c r="N140" i="9"/>
  <c r="M142" i="9"/>
  <c r="J146" i="9"/>
  <c r="K146" i="9" s="1"/>
  <c r="I143" i="9"/>
  <c r="J143" i="9" s="1"/>
  <c r="K143" i="9" s="1"/>
  <c r="D153" i="9"/>
  <c r="N157" i="9"/>
  <c r="M157" i="9"/>
  <c r="D164" i="9"/>
  <c r="J170" i="9"/>
  <c r="L182" i="9"/>
  <c r="K181" i="9"/>
  <c r="J196" i="9"/>
  <c r="K196" i="9" s="1"/>
  <c r="M196" i="9" s="1"/>
  <c r="E195" i="9"/>
  <c r="J195" i="9" s="1"/>
  <c r="K195" i="9" s="1"/>
  <c r="M195" i="9" s="1"/>
  <c r="K154" i="9"/>
  <c r="N154" i="9" s="1"/>
  <c r="J159" i="9"/>
  <c r="K159" i="9" s="1"/>
  <c r="E158" i="9"/>
  <c r="G158" i="9"/>
  <c r="G153" i="9" s="1"/>
  <c r="I158" i="9"/>
  <c r="I153" i="9" s="1"/>
  <c r="J166" i="9"/>
  <c r="K166" i="9" s="1"/>
  <c r="E165" i="9"/>
  <c r="N183" i="9"/>
  <c r="L183" i="9"/>
  <c r="M183" i="9" s="1"/>
  <c r="K191" i="9"/>
  <c r="M191" i="9" s="1"/>
  <c r="N100" i="10" l="1"/>
  <c r="M100" i="10"/>
  <c r="N111" i="10"/>
  <c r="M111" i="10"/>
  <c r="N125" i="10"/>
  <c r="M125" i="10"/>
  <c r="N133" i="10"/>
  <c r="M133" i="10"/>
  <c r="N121" i="10"/>
  <c r="M121" i="10"/>
  <c r="J95" i="8"/>
  <c r="K95" i="8" s="1"/>
  <c r="N95" i="8" s="1"/>
  <c r="I14" i="9"/>
  <c r="J14" i="9" s="1"/>
  <c r="M89" i="10"/>
  <c r="M117" i="8"/>
  <c r="J124" i="8"/>
  <c r="J73" i="9"/>
  <c r="K73" i="9" s="1"/>
  <c r="K72" i="9" s="1"/>
  <c r="N72" i="9" s="1"/>
  <c r="G13" i="9"/>
  <c r="G12" i="9" s="1"/>
  <c r="N107" i="10"/>
  <c r="M44" i="10"/>
  <c r="M80" i="10"/>
  <c r="G11" i="10"/>
  <c r="G179" i="10" s="1"/>
  <c r="J164" i="8"/>
  <c r="K164" i="8" s="1"/>
  <c r="M164" i="8" s="1"/>
  <c r="L152" i="8"/>
  <c r="M152" i="8" s="1"/>
  <c r="J163" i="8"/>
  <c r="K163" i="8" s="1"/>
  <c r="M163" i="8" s="1"/>
  <c r="J34" i="8"/>
  <c r="K34" i="8" s="1"/>
  <c r="J108" i="8"/>
  <c r="K108" i="8" s="1"/>
  <c r="J150" i="9"/>
  <c r="K150" i="9" s="1"/>
  <c r="N150" i="9" s="1"/>
  <c r="M135" i="10"/>
  <c r="I56" i="10"/>
  <c r="I51" i="10" s="1"/>
  <c r="I50" i="10" s="1"/>
  <c r="N105" i="8"/>
  <c r="M105" i="8"/>
  <c r="N67" i="8"/>
  <c r="M67" i="8"/>
  <c r="N87" i="10"/>
  <c r="M87" i="10"/>
  <c r="E119" i="10"/>
  <c r="J119" i="10" s="1"/>
  <c r="K119" i="10" s="1"/>
  <c r="N119" i="10" s="1"/>
  <c r="I138" i="10"/>
  <c r="J138" i="10" s="1"/>
  <c r="N17" i="8"/>
  <c r="M17" i="8"/>
  <c r="M92" i="10"/>
  <c r="J124" i="10"/>
  <c r="K124" i="10" s="1"/>
  <c r="N124" i="10" s="1"/>
  <c r="H11" i="8"/>
  <c r="H179" i="8" s="1"/>
  <c r="I179" i="8"/>
  <c r="G179" i="8"/>
  <c r="F179" i="8"/>
  <c r="K124" i="8"/>
  <c r="N124" i="8" s="1"/>
  <c r="N19" i="8"/>
  <c r="M19" i="8"/>
  <c r="M126" i="9"/>
  <c r="M115" i="9"/>
  <c r="M114" i="9"/>
  <c r="N114" i="9"/>
  <c r="M110" i="9"/>
  <c r="M56" i="9"/>
  <c r="N44" i="9"/>
  <c r="M44" i="9"/>
  <c r="F11" i="9"/>
  <c r="F199" i="9" s="1"/>
  <c r="N26" i="9"/>
  <c r="M21" i="9"/>
  <c r="I13" i="9"/>
  <c r="I12" i="9" s="1"/>
  <c r="G11" i="9"/>
  <c r="G199" i="9" s="1"/>
  <c r="N125" i="8"/>
  <c r="M125" i="8"/>
  <c r="N54" i="8"/>
  <c r="M54" i="8"/>
  <c r="K138" i="8"/>
  <c r="D137" i="8"/>
  <c r="J120" i="8"/>
  <c r="K120" i="8" s="1"/>
  <c r="E119" i="8"/>
  <c r="J119" i="8" s="1"/>
  <c r="M112" i="8"/>
  <c r="M102" i="8"/>
  <c r="N102" i="8"/>
  <c r="L52" i="8"/>
  <c r="N135" i="8"/>
  <c r="M135" i="8"/>
  <c r="D119" i="8"/>
  <c r="K119" i="8" s="1"/>
  <c r="N119" i="8" s="1"/>
  <c r="M92" i="8"/>
  <c r="M89" i="8"/>
  <c r="N89" i="8"/>
  <c r="N30" i="8"/>
  <c r="M30" i="8"/>
  <c r="N34" i="8"/>
  <c r="M34" i="8"/>
  <c r="L12" i="8"/>
  <c r="N121" i="8"/>
  <c r="M121" i="8"/>
  <c r="N109" i="8"/>
  <c r="M109" i="8"/>
  <c r="M87" i="8"/>
  <c r="J57" i="8"/>
  <c r="K57" i="8" s="1"/>
  <c r="E52" i="8"/>
  <c r="M45" i="8"/>
  <c r="M139" i="8"/>
  <c r="L138" i="8"/>
  <c r="E137" i="8"/>
  <c r="J137" i="8" s="1"/>
  <c r="E133" i="8"/>
  <c r="J133" i="8" s="1"/>
  <c r="K133" i="8" s="1"/>
  <c r="J134" i="8"/>
  <c r="K134" i="8" s="1"/>
  <c r="M100" i="8"/>
  <c r="M95" i="8"/>
  <c r="N41" i="8"/>
  <c r="M41" i="8"/>
  <c r="J14" i="8"/>
  <c r="E13" i="8"/>
  <c r="D52" i="8"/>
  <c r="K53" i="8"/>
  <c r="N53" i="8" s="1"/>
  <c r="K40" i="8"/>
  <c r="N35" i="8"/>
  <c r="M35" i="8"/>
  <c r="K14" i="8"/>
  <c r="N15" i="8"/>
  <c r="M174" i="10"/>
  <c r="K138" i="10"/>
  <c r="N138" i="10" s="1"/>
  <c r="M104" i="10"/>
  <c r="N104" i="10"/>
  <c r="I11" i="10"/>
  <c r="I179" i="10" s="1"/>
  <c r="N117" i="10"/>
  <c r="M117" i="10"/>
  <c r="L153" i="10"/>
  <c r="M153" i="10" s="1"/>
  <c r="J39" i="10"/>
  <c r="K39" i="10" s="1"/>
  <c r="M39" i="10" s="1"/>
  <c r="J22" i="10"/>
  <c r="K22" i="10" s="1"/>
  <c r="N22" i="10" s="1"/>
  <c r="M119" i="10"/>
  <c r="N32" i="10"/>
  <c r="M32" i="10"/>
  <c r="N19" i="10"/>
  <c r="M19" i="10"/>
  <c r="N35" i="10"/>
  <c r="M35" i="10"/>
  <c r="M22" i="10"/>
  <c r="J52" i="10"/>
  <c r="K52" i="10" s="1"/>
  <c r="E51" i="10"/>
  <c r="D50" i="10"/>
  <c r="N79" i="10"/>
  <c r="M79" i="10"/>
  <c r="N67" i="10"/>
  <c r="M67" i="10"/>
  <c r="N66" i="10"/>
  <c r="M66" i="10"/>
  <c r="M16" i="10"/>
  <c r="N16" i="10"/>
  <c r="K15" i="10"/>
  <c r="L13" i="10"/>
  <c r="M140" i="10"/>
  <c r="M134" i="10"/>
  <c r="M124" i="10"/>
  <c r="L51" i="10"/>
  <c r="N78" i="10"/>
  <c r="M78" i="10"/>
  <c r="J56" i="10"/>
  <c r="K56" i="10" s="1"/>
  <c r="H14" i="10"/>
  <c r="H13" i="10" s="1"/>
  <c r="H12" i="10" s="1"/>
  <c r="H11" i="10" s="1"/>
  <c r="H179" i="10" s="1"/>
  <c r="E13" i="10"/>
  <c r="J40" i="10"/>
  <c r="K40" i="10" s="1"/>
  <c r="H72" i="9"/>
  <c r="H67" i="9" s="1"/>
  <c r="H66" i="9" s="1"/>
  <c r="H11" i="9" s="1"/>
  <c r="H199" i="9" s="1"/>
  <c r="N143" i="9"/>
  <c r="M143" i="9"/>
  <c r="N136" i="9"/>
  <c r="M136" i="9"/>
  <c r="N69" i="9"/>
  <c r="M69" i="9"/>
  <c r="N98" i="9"/>
  <c r="M98" i="9"/>
  <c r="N116" i="9"/>
  <c r="M116" i="9"/>
  <c r="N166" i="9"/>
  <c r="M166" i="9"/>
  <c r="N159" i="9"/>
  <c r="M159" i="9"/>
  <c r="N132" i="9"/>
  <c r="M132" i="9"/>
  <c r="M119" i="9"/>
  <c r="N119" i="9"/>
  <c r="M103" i="9"/>
  <c r="N103" i="9"/>
  <c r="K68" i="9"/>
  <c r="M68" i="9" s="1"/>
  <c r="D67" i="9"/>
  <c r="D66" i="9" s="1"/>
  <c r="D11" i="9" s="1"/>
  <c r="D199" i="9" s="1"/>
  <c r="M121" i="9"/>
  <c r="N87" i="9"/>
  <c r="M87" i="9"/>
  <c r="I72" i="9"/>
  <c r="J165" i="9"/>
  <c r="K165" i="9" s="1"/>
  <c r="E164" i="9"/>
  <c r="J164" i="9" s="1"/>
  <c r="K164" i="9" s="1"/>
  <c r="J158" i="9"/>
  <c r="K158" i="9" s="1"/>
  <c r="M154" i="9"/>
  <c r="L181" i="9"/>
  <c r="M181" i="9" s="1"/>
  <c r="M182" i="9"/>
  <c r="M150" i="9"/>
  <c r="M146" i="9"/>
  <c r="N146" i="9"/>
  <c r="M127" i="9"/>
  <c r="N127" i="9"/>
  <c r="N85" i="9"/>
  <c r="M85" i="9"/>
  <c r="L67" i="9"/>
  <c r="E66" i="9"/>
  <c r="E13" i="9"/>
  <c r="J169" i="9"/>
  <c r="K169" i="9" s="1"/>
  <c r="N169" i="9" s="1"/>
  <c r="E168" i="9"/>
  <c r="J168" i="9" s="1"/>
  <c r="K168" i="9" s="1"/>
  <c r="N168" i="9" s="1"/>
  <c r="M170" i="9"/>
  <c r="L169" i="9"/>
  <c r="E153" i="9"/>
  <c r="J153" i="9" s="1"/>
  <c r="K153" i="9" s="1"/>
  <c r="N133" i="9"/>
  <c r="M133" i="9"/>
  <c r="J50" i="9"/>
  <c r="K50" i="9" s="1"/>
  <c r="M40" i="9"/>
  <c r="K14" i="9"/>
  <c r="M14" i="9" s="1"/>
  <c r="N15" i="9"/>
  <c r="L13" i="9"/>
  <c r="J49" i="9"/>
  <c r="M73" i="9" l="1"/>
  <c r="N108" i="8"/>
  <c r="M108" i="8"/>
  <c r="M53" i="8"/>
  <c r="N39" i="10"/>
  <c r="M124" i="8"/>
  <c r="M72" i="9"/>
  <c r="N133" i="8"/>
  <c r="M133" i="8"/>
  <c r="N40" i="8"/>
  <c r="M40" i="8"/>
  <c r="D51" i="8"/>
  <c r="L137" i="8"/>
  <c r="M138" i="8"/>
  <c r="N57" i="8"/>
  <c r="M57" i="8"/>
  <c r="M119" i="8"/>
  <c r="N14" i="8"/>
  <c r="K13" i="8"/>
  <c r="M14" i="8"/>
  <c r="J13" i="8"/>
  <c r="E12" i="8"/>
  <c r="N134" i="8"/>
  <c r="M134" i="8"/>
  <c r="J52" i="8"/>
  <c r="K52" i="8" s="1"/>
  <c r="E51" i="8"/>
  <c r="J51" i="8" s="1"/>
  <c r="L51" i="8"/>
  <c r="N120" i="8"/>
  <c r="M120" i="8"/>
  <c r="N138" i="8"/>
  <c r="K137" i="8"/>
  <c r="N137" i="8" s="1"/>
  <c r="L139" i="10"/>
  <c r="N56" i="10"/>
  <c r="M56" i="10"/>
  <c r="J13" i="10"/>
  <c r="E12" i="10"/>
  <c r="J51" i="10"/>
  <c r="K51" i="10" s="1"/>
  <c r="N51" i="10" s="1"/>
  <c r="E50" i="10"/>
  <c r="J50" i="10" s="1"/>
  <c r="K50" i="10" s="1"/>
  <c r="N50" i="10" s="1"/>
  <c r="N40" i="10"/>
  <c r="M40" i="10"/>
  <c r="J14" i="10"/>
  <c r="D11" i="10"/>
  <c r="D179" i="10" s="1"/>
  <c r="M51" i="10"/>
  <c r="L50" i="10"/>
  <c r="L12" i="10"/>
  <c r="N15" i="10"/>
  <c r="M15" i="10"/>
  <c r="K14" i="10"/>
  <c r="N52" i="10"/>
  <c r="M52" i="10"/>
  <c r="N153" i="9"/>
  <c r="M153" i="9"/>
  <c r="N164" i="9"/>
  <c r="M164" i="9"/>
  <c r="L12" i="9"/>
  <c r="M169" i="9"/>
  <c r="L168" i="9"/>
  <c r="J13" i="9"/>
  <c r="E12" i="9"/>
  <c r="N158" i="9"/>
  <c r="M158" i="9"/>
  <c r="N165" i="9"/>
  <c r="M165" i="9"/>
  <c r="N14" i="9"/>
  <c r="N50" i="9"/>
  <c r="K49" i="9"/>
  <c r="K13" i="9" s="1"/>
  <c r="M50" i="9"/>
  <c r="L66" i="9"/>
  <c r="I67" i="9"/>
  <c r="J72" i="9"/>
  <c r="N68" i="9"/>
  <c r="K67" i="9"/>
  <c r="M67" i="9" s="1"/>
  <c r="N52" i="8" l="1"/>
  <c r="M52" i="8"/>
  <c r="L11" i="8"/>
  <c r="J12" i="8"/>
  <c r="E11" i="8"/>
  <c r="K51" i="8"/>
  <c r="N51" i="8" s="1"/>
  <c r="D179" i="8"/>
  <c r="P14" i="8"/>
  <c r="N13" i="8"/>
  <c r="K12" i="8"/>
  <c r="M13" i="8"/>
  <c r="M137" i="8"/>
  <c r="M139" i="10"/>
  <c r="L138" i="10"/>
  <c r="M138" i="10" s="1"/>
  <c r="N14" i="10"/>
  <c r="K13" i="10"/>
  <c r="M14" i="10"/>
  <c r="M50" i="10"/>
  <c r="L11" i="10"/>
  <c r="J12" i="10"/>
  <c r="E11" i="10"/>
  <c r="I66" i="9"/>
  <c r="J67" i="9"/>
  <c r="P14" i="9"/>
  <c r="N13" i="9"/>
  <c r="K12" i="9"/>
  <c r="M13" i="9"/>
  <c r="N67" i="9"/>
  <c r="K66" i="9"/>
  <c r="N66" i="9" s="1"/>
  <c r="N49" i="9"/>
  <c r="M49" i="9"/>
  <c r="J12" i="9"/>
  <c r="E11" i="9"/>
  <c r="M168" i="9"/>
  <c r="L11" i="9"/>
  <c r="M66" i="9" l="1"/>
  <c r="E179" i="8"/>
  <c r="J179" i="8" s="1"/>
  <c r="J11" i="8"/>
  <c r="L179" i="8"/>
  <c r="K11" i="8"/>
  <c r="N12" i="8"/>
  <c r="M12" i="8"/>
  <c r="M51" i="8"/>
  <c r="E179" i="10"/>
  <c r="J179" i="10" s="1"/>
  <c r="J11" i="10"/>
  <c r="L179" i="10"/>
  <c r="K12" i="10"/>
  <c r="P14" i="10"/>
  <c r="N13" i="10"/>
  <c r="M13" i="10"/>
  <c r="E199" i="9"/>
  <c r="N12" i="9"/>
  <c r="K11" i="9"/>
  <c r="I11" i="9"/>
  <c r="I199" i="9" s="1"/>
  <c r="J66" i="9"/>
  <c r="M12" i="9"/>
  <c r="L199" i="9"/>
  <c r="K179" i="8" l="1"/>
  <c r="M179" i="8" s="1"/>
  <c r="N11" i="8"/>
  <c r="M11" i="8"/>
  <c r="N12" i="10"/>
  <c r="K11" i="10"/>
  <c r="M12" i="10"/>
  <c r="J199" i="9"/>
  <c r="K199" i="9"/>
  <c r="M199" i="9" s="1"/>
  <c r="N11" i="9"/>
  <c r="M11" i="9"/>
  <c r="J11" i="9"/>
  <c r="K179" i="10" l="1"/>
  <c r="N11" i="10"/>
  <c r="M11" i="10"/>
  <c r="M179" i="10" l="1"/>
  <c r="I100" i="1" l="1"/>
  <c r="I98" i="1"/>
  <c r="H99" i="1"/>
  <c r="I99" i="1"/>
  <c r="J167" i="3" l="1"/>
  <c r="J168" i="3"/>
  <c r="J169" i="3"/>
  <c r="K169" i="3" l="1"/>
  <c r="M169" i="3" s="1"/>
  <c r="K168" i="3"/>
  <c r="M168" i="3" s="1"/>
  <c r="K167" i="3"/>
  <c r="M167" i="3" s="1"/>
  <c r="L166" i="3"/>
  <c r="L165" i="3" s="1"/>
  <c r="I166" i="3"/>
  <c r="I165" i="3" s="1"/>
  <c r="H166" i="3"/>
  <c r="H165" i="3" s="1"/>
  <c r="G166" i="3"/>
  <c r="G165" i="3" s="1"/>
  <c r="F166" i="3"/>
  <c r="F165" i="3" s="1"/>
  <c r="E166" i="3"/>
  <c r="D166" i="3"/>
  <c r="D165" i="3" s="1"/>
  <c r="J164" i="3"/>
  <c r="K164" i="3" s="1"/>
  <c r="M164" i="3" s="1"/>
  <c r="J163" i="3"/>
  <c r="K163" i="3" s="1"/>
  <c r="M163" i="3" s="1"/>
  <c r="J162" i="3"/>
  <c r="K162" i="3" s="1"/>
  <c r="M162" i="3" s="1"/>
  <c r="J161" i="3"/>
  <c r="K161" i="3" s="1"/>
  <c r="M161" i="3" s="1"/>
  <c r="L160" i="3"/>
  <c r="L159" i="3" s="1"/>
  <c r="I160" i="3"/>
  <c r="I159" i="3" s="1"/>
  <c r="H160" i="3"/>
  <c r="H159" i="3" s="1"/>
  <c r="G160" i="3"/>
  <c r="G159" i="3" s="1"/>
  <c r="F160" i="3"/>
  <c r="F159" i="3" s="1"/>
  <c r="E160" i="3"/>
  <c r="D160" i="3"/>
  <c r="D159" i="3" s="1"/>
  <c r="L157" i="3"/>
  <c r="I157" i="3"/>
  <c r="H157" i="3"/>
  <c r="G157" i="3"/>
  <c r="F157" i="3"/>
  <c r="E157" i="3"/>
  <c r="D157" i="3"/>
  <c r="J156" i="3"/>
  <c r="K156" i="3" s="1"/>
  <c r="M156" i="3" s="1"/>
  <c r="J155" i="3"/>
  <c r="K155" i="3" s="1"/>
  <c r="M155" i="3" s="1"/>
  <c r="L154" i="3"/>
  <c r="I154" i="3"/>
  <c r="H154" i="3"/>
  <c r="G154" i="3"/>
  <c r="F154" i="3"/>
  <c r="E154" i="3"/>
  <c r="D154" i="3"/>
  <c r="K153" i="3"/>
  <c r="M153" i="3" s="1"/>
  <c r="J152" i="3"/>
  <c r="K152" i="3" s="1"/>
  <c r="L152" i="3" s="1"/>
  <c r="M152" i="3" s="1"/>
  <c r="J151" i="3"/>
  <c r="K151" i="3" s="1"/>
  <c r="J150" i="3"/>
  <c r="K150" i="3" s="1"/>
  <c r="L150" i="3" s="1"/>
  <c r="I149" i="3"/>
  <c r="H149" i="3"/>
  <c r="G149" i="3"/>
  <c r="F149" i="3"/>
  <c r="E149" i="3"/>
  <c r="D149" i="3"/>
  <c r="J148" i="3"/>
  <c r="K148" i="3" s="1"/>
  <c r="L148" i="3" s="1"/>
  <c r="M148" i="3" s="1"/>
  <c r="J147" i="3"/>
  <c r="K147" i="3" s="1"/>
  <c r="L147" i="3" s="1"/>
  <c r="M147" i="3" s="1"/>
  <c r="J146" i="3"/>
  <c r="K146" i="3" s="1"/>
  <c r="L146" i="3" s="1"/>
  <c r="M146" i="3" s="1"/>
  <c r="J145" i="3"/>
  <c r="K145" i="3" s="1"/>
  <c r="L145" i="3" s="1"/>
  <c r="M145" i="3" s="1"/>
  <c r="J144" i="3"/>
  <c r="K144" i="3" s="1"/>
  <c r="L144" i="3" s="1"/>
  <c r="J143" i="3"/>
  <c r="K143" i="3" s="1"/>
  <c r="M143" i="3" s="1"/>
  <c r="J142" i="3"/>
  <c r="K142" i="3" s="1"/>
  <c r="M142" i="3" s="1"/>
  <c r="I141" i="3"/>
  <c r="H141" i="3"/>
  <c r="G141" i="3"/>
  <c r="F141" i="3"/>
  <c r="E141" i="3"/>
  <c r="D141" i="3"/>
  <c r="K138" i="3"/>
  <c r="N138" i="3" s="1"/>
  <c r="J138" i="3"/>
  <c r="L137" i="3"/>
  <c r="L136" i="3" s="1"/>
  <c r="L135" i="3" s="1"/>
  <c r="I137" i="3"/>
  <c r="I136" i="3" s="1"/>
  <c r="I135" i="3" s="1"/>
  <c r="H137" i="3"/>
  <c r="H136" i="3" s="1"/>
  <c r="H135" i="3" s="1"/>
  <c r="G137" i="3"/>
  <c r="F137" i="3"/>
  <c r="F136" i="3" s="1"/>
  <c r="E137" i="3"/>
  <c r="E136" i="3" s="1"/>
  <c r="D137" i="3"/>
  <c r="G136" i="3"/>
  <c r="G135" i="3" s="1"/>
  <c r="F135" i="3"/>
  <c r="J134" i="3"/>
  <c r="K134" i="3" s="1"/>
  <c r="M134" i="3" s="1"/>
  <c r="L133" i="3"/>
  <c r="I133" i="3"/>
  <c r="H133" i="3"/>
  <c r="G133" i="3"/>
  <c r="F133" i="3"/>
  <c r="E133" i="3"/>
  <c r="D133" i="3"/>
  <c r="J132" i="3"/>
  <c r="K132" i="3" s="1"/>
  <c r="H131" i="3"/>
  <c r="J131" i="3" s="1"/>
  <c r="K131" i="3" s="1"/>
  <c r="M131" i="3" s="1"/>
  <c r="J130" i="3"/>
  <c r="K130" i="3" s="1"/>
  <c r="M130" i="3" s="1"/>
  <c r="J129" i="3"/>
  <c r="K129" i="3" s="1"/>
  <c r="M129" i="3" s="1"/>
  <c r="J128" i="3"/>
  <c r="K128" i="3" s="1"/>
  <c r="M128" i="3" s="1"/>
  <c r="L127" i="3"/>
  <c r="I127" i="3"/>
  <c r="I126" i="3" s="1"/>
  <c r="H127" i="3"/>
  <c r="H126" i="3" s="1"/>
  <c r="G127" i="3"/>
  <c r="G126" i="3" s="1"/>
  <c r="G120" i="3" s="1"/>
  <c r="F127" i="3"/>
  <c r="F126" i="3" s="1"/>
  <c r="E127" i="3"/>
  <c r="D127" i="3"/>
  <c r="E126" i="3"/>
  <c r="J125" i="3"/>
  <c r="K125" i="3" s="1"/>
  <c r="J124" i="3"/>
  <c r="K124" i="3" s="1"/>
  <c r="J123" i="3"/>
  <c r="K123" i="3" s="1"/>
  <c r="L122" i="3"/>
  <c r="L121" i="3" s="1"/>
  <c r="I122" i="3"/>
  <c r="I121" i="3" s="1"/>
  <c r="H122" i="3"/>
  <c r="G122" i="3"/>
  <c r="G121" i="3" s="1"/>
  <c r="F122" i="3"/>
  <c r="F121" i="3" s="1"/>
  <c r="E122" i="3"/>
  <c r="D122" i="3"/>
  <c r="D121" i="3" s="1"/>
  <c r="H121" i="3"/>
  <c r="H119" i="3"/>
  <c r="L118" i="3"/>
  <c r="I118" i="3"/>
  <c r="G118" i="3"/>
  <c r="F118" i="3"/>
  <c r="E118" i="3"/>
  <c r="D118" i="3"/>
  <c r="J117" i="3"/>
  <c r="K117" i="3" s="1"/>
  <c r="M117" i="3" s="1"/>
  <c r="L116" i="3"/>
  <c r="I116" i="3"/>
  <c r="H116" i="3"/>
  <c r="G116" i="3"/>
  <c r="F116" i="3"/>
  <c r="E116" i="3"/>
  <c r="D116" i="3"/>
  <c r="I115" i="3"/>
  <c r="J115" i="3" s="1"/>
  <c r="K115" i="3" s="1"/>
  <c r="I114" i="3"/>
  <c r="H114" i="3"/>
  <c r="J113" i="3"/>
  <c r="K113" i="3" s="1"/>
  <c r="M113" i="3" s="1"/>
  <c r="L112" i="3"/>
  <c r="H112" i="3"/>
  <c r="G112" i="3"/>
  <c r="F112" i="3"/>
  <c r="E112" i="3"/>
  <c r="D112" i="3"/>
  <c r="H111" i="3"/>
  <c r="J111" i="3" s="1"/>
  <c r="K111" i="3" s="1"/>
  <c r="I110" i="3"/>
  <c r="H110" i="3"/>
  <c r="H108" i="3" s="1"/>
  <c r="I109" i="3"/>
  <c r="J109" i="3" s="1"/>
  <c r="K109" i="3" s="1"/>
  <c r="L108" i="3"/>
  <c r="G108" i="3"/>
  <c r="F108" i="3"/>
  <c r="E108" i="3"/>
  <c r="D108" i="3"/>
  <c r="H107" i="3"/>
  <c r="J107" i="3" s="1"/>
  <c r="K107" i="3" s="1"/>
  <c r="I106" i="3"/>
  <c r="I105" i="3" s="1"/>
  <c r="H106" i="3"/>
  <c r="L105" i="3"/>
  <c r="G105" i="3"/>
  <c r="F105" i="3"/>
  <c r="E105" i="3"/>
  <c r="D105" i="3"/>
  <c r="J104" i="3"/>
  <c r="K104" i="3" s="1"/>
  <c r="M104" i="3" s="1"/>
  <c r="I103" i="3"/>
  <c r="H103" i="3"/>
  <c r="I102" i="3"/>
  <c r="J102" i="3" s="1"/>
  <c r="K102" i="3" s="1"/>
  <c r="L101" i="3"/>
  <c r="G101" i="3"/>
  <c r="F101" i="3"/>
  <c r="E101" i="3"/>
  <c r="D101" i="3"/>
  <c r="J100" i="3"/>
  <c r="K100" i="3" s="1"/>
  <c r="J99" i="3"/>
  <c r="K99" i="3" s="1"/>
  <c r="H98" i="3"/>
  <c r="J98" i="3" s="1"/>
  <c r="K98" i="3" s="1"/>
  <c r="I97" i="3"/>
  <c r="J97" i="3" s="1"/>
  <c r="K97" i="3" s="1"/>
  <c r="L96" i="3"/>
  <c r="H96" i="3"/>
  <c r="G96" i="3"/>
  <c r="F96" i="3"/>
  <c r="E96" i="3"/>
  <c r="D96" i="3"/>
  <c r="I95" i="3"/>
  <c r="H95" i="3"/>
  <c r="I94" i="3"/>
  <c r="J94" i="3" s="1"/>
  <c r="K94" i="3" s="1"/>
  <c r="J93" i="3"/>
  <c r="K93" i="3" s="1"/>
  <c r="M93" i="3" s="1"/>
  <c r="L92" i="3"/>
  <c r="G92" i="3"/>
  <c r="F92" i="3"/>
  <c r="E92" i="3"/>
  <c r="D92" i="3"/>
  <c r="J91" i="3"/>
  <c r="K91" i="3" s="1"/>
  <c r="J90" i="3"/>
  <c r="K90" i="3" s="1"/>
  <c r="I89" i="3"/>
  <c r="J88" i="3"/>
  <c r="K88" i="3" s="1"/>
  <c r="L87" i="3"/>
  <c r="H87" i="3"/>
  <c r="G87" i="3"/>
  <c r="F87" i="3"/>
  <c r="E87" i="3"/>
  <c r="D87" i="3"/>
  <c r="J86" i="3"/>
  <c r="K86" i="3" s="1"/>
  <c r="M86" i="3" s="1"/>
  <c r="J85" i="3"/>
  <c r="K85" i="3" s="1"/>
  <c r="M85" i="3" s="1"/>
  <c r="I84" i="3"/>
  <c r="J84" i="3" s="1"/>
  <c r="K84" i="3" s="1"/>
  <c r="M84" i="3" s="1"/>
  <c r="I83" i="3"/>
  <c r="J83" i="3" s="1"/>
  <c r="K83" i="3" s="1"/>
  <c r="M83" i="3" s="1"/>
  <c r="H82" i="3"/>
  <c r="J82" i="3" s="1"/>
  <c r="K82" i="3" s="1"/>
  <c r="J81" i="3"/>
  <c r="K81" i="3" s="1"/>
  <c r="N81" i="3" s="1"/>
  <c r="J80" i="3"/>
  <c r="K80" i="3" s="1"/>
  <c r="N80" i="3" s="1"/>
  <c r="I79" i="3"/>
  <c r="H79" i="3"/>
  <c r="L78" i="3"/>
  <c r="G78" i="3"/>
  <c r="F78" i="3"/>
  <c r="E78" i="3"/>
  <c r="D78" i="3"/>
  <c r="J77" i="3"/>
  <c r="K77" i="3" s="1"/>
  <c r="J76" i="3"/>
  <c r="K76" i="3" s="1"/>
  <c r="J75" i="3"/>
  <c r="K75" i="3" s="1"/>
  <c r="J74" i="3"/>
  <c r="K74" i="3" s="1"/>
  <c r="J73" i="3"/>
  <c r="K73" i="3" s="1"/>
  <c r="I72" i="3"/>
  <c r="J72" i="3" s="1"/>
  <c r="K72" i="3" s="1"/>
  <c r="J71" i="3"/>
  <c r="K71" i="3" s="1"/>
  <c r="N71" i="3" s="1"/>
  <c r="J70" i="3"/>
  <c r="K70" i="3" s="1"/>
  <c r="N70" i="3" s="1"/>
  <c r="J69" i="3"/>
  <c r="K69" i="3" s="1"/>
  <c r="M69" i="3" s="1"/>
  <c r="J68" i="3"/>
  <c r="K68" i="3" s="1"/>
  <c r="J67" i="3"/>
  <c r="K67" i="3" s="1"/>
  <c r="L66" i="3"/>
  <c r="H66" i="3"/>
  <c r="G66" i="3"/>
  <c r="F66" i="3"/>
  <c r="E66" i="3"/>
  <c r="D66" i="3"/>
  <c r="H65" i="3"/>
  <c r="J65" i="3" s="1"/>
  <c r="K65" i="3" s="1"/>
  <c r="M65" i="3" s="1"/>
  <c r="J64" i="3"/>
  <c r="K64" i="3" s="1"/>
  <c r="M64" i="3" s="1"/>
  <c r="L63" i="3"/>
  <c r="I63" i="3"/>
  <c r="H63" i="3"/>
  <c r="G63" i="3"/>
  <c r="F63" i="3"/>
  <c r="E63" i="3"/>
  <c r="D63" i="3"/>
  <c r="J62" i="3"/>
  <c r="K62" i="3" s="1"/>
  <c r="M62" i="3" s="1"/>
  <c r="J61" i="3"/>
  <c r="K61" i="3" s="1"/>
  <c r="M61" i="3" s="1"/>
  <c r="H60" i="3"/>
  <c r="J60" i="3" s="1"/>
  <c r="K60" i="3" s="1"/>
  <c r="M60" i="3" s="1"/>
  <c r="H59" i="3"/>
  <c r="J59" i="3" s="1"/>
  <c r="K59" i="3" s="1"/>
  <c r="M59" i="3" s="1"/>
  <c r="J58" i="3"/>
  <c r="K58" i="3" s="1"/>
  <c r="M58" i="3" s="1"/>
  <c r="L57" i="3"/>
  <c r="I57" i="3"/>
  <c r="G57" i="3"/>
  <c r="F57" i="3"/>
  <c r="E57" i="3"/>
  <c r="D57" i="3"/>
  <c r="J55" i="3"/>
  <c r="K55" i="3" s="1"/>
  <c r="N55" i="3" s="1"/>
  <c r="J54" i="3"/>
  <c r="K54" i="3" s="1"/>
  <c r="N54" i="3" s="1"/>
  <c r="L53" i="3"/>
  <c r="I53" i="3"/>
  <c r="H53" i="3"/>
  <c r="H52" i="3" s="1"/>
  <c r="G53" i="3"/>
  <c r="G52" i="3" s="1"/>
  <c r="F53" i="3"/>
  <c r="E53" i="3"/>
  <c r="E52" i="3" s="1"/>
  <c r="D53" i="3"/>
  <c r="I52" i="3"/>
  <c r="I49" i="3"/>
  <c r="J49" i="3" s="1"/>
  <c r="K49" i="3" s="1"/>
  <c r="I48" i="3"/>
  <c r="J48" i="3" s="1"/>
  <c r="K48" i="3" s="1"/>
  <c r="I47" i="3"/>
  <c r="J47" i="3" s="1"/>
  <c r="K47" i="3" s="1"/>
  <c r="I46" i="3"/>
  <c r="J46" i="3" s="1"/>
  <c r="K46" i="3" s="1"/>
  <c r="I45" i="3"/>
  <c r="J45" i="3" s="1"/>
  <c r="K45" i="3" s="1"/>
  <c r="L44" i="3"/>
  <c r="H44" i="3"/>
  <c r="G44" i="3"/>
  <c r="F44" i="3"/>
  <c r="E44" i="3"/>
  <c r="D44" i="3"/>
  <c r="I43" i="3"/>
  <c r="J43" i="3" s="1"/>
  <c r="K43" i="3" s="1"/>
  <c r="I42" i="3"/>
  <c r="I41" i="3"/>
  <c r="J41" i="3" s="1"/>
  <c r="K41" i="3" s="1"/>
  <c r="L40" i="3"/>
  <c r="H40" i="3"/>
  <c r="G40" i="3"/>
  <c r="F40" i="3"/>
  <c r="E40" i="3"/>
  <c r="D40" i="3"/>
  <c r="J38" i="3"/>
  <c r="K38" i="3" s="1"/>
  <c r="H37" i="3"/>
  <c r="J37" i="3" s="1"/>
  <c r="K37" i="3" s="1"/>
  <c r="I36" i="3"/>
  <c r="I35" i="3" s="1"/>
  <c r="H36" i="3"/>
  <c r="L35" i="3"/>
  <c r="G35" i="3"/>
  <c r="F35" i="3"/>
  <c r="E35" i="3"/>
  <c r="D35" i="3"/>
  <c r="H34" i="3"/>
  <c r="J34" i="3" s="1"/>
  <c r="K34" i="3" s="1"/>
  <c r="J33" i="3"/>
  <c r="K33" i="3" s="1"/>
  <c r="I33" i="3"/>
  <c r="I32" i="3" s="1"/>
  <c r="L32" i="3"/>
  <c r="H32" i="3"/>
  <c r="G32" i="3"/>
  <c r="F32" i="3"/>
  <c r="E32" i="3"/>
  <c r="D32" i="3"/>
  <c r="J31" i="3"/>
  <c r="K31" i="3" s="1"/>
  <c r="J30" i="3"/>
  <c r="K30" i="3" s="1"/>
  <c r="I29" i="3"/>
  <c r="J29" i="3" s="1"/>
  <c r="K29" i="3" s="1"/>
  <c r="I28" i="3"/>
  <c r="J28" i="3" s="1"/>
  <c r="K28" i="3" s="1"/>
  <c r="I27" i="3"/>
  <c r="J27" i="3" s="1"/>
  <c r="K27" i="3" s="1"/>
  <c r="J26" i="3"/>
  <c r="K26" i="3" s="1"/>
  <c r="M26" i="3" s="1"/>
  <c r="J25" i="3"/>
  <c r="K25" i="3" s="1"/>
  <c r="I24" i="3"/>
  <c r="J24" i="3" s="1"/>
  <c r="K24" i="3" s="1"/>
  <c r="I23" i="3"/>
  <c r="J23" i="3" s="1"/>
  <c r="K23" i="3" s="1"/>
  <c r="L22" i="3"/>
  <c r="H22" i="3"/>
  <c r="G22" i="3"/>
  <c r="F22" i="3"/>
  <c r="E22" i="3"/>
  <c r="D22" i="3"/>
  <c r="I21" i="3"/>
  <c r="J21" i="3" s="1"/>
  <c r="K21" i="3" s="1"/>
  <c r="J20" i="3"/>
  <c r="K20" i="3" s="1"/>
  <c r="M20" i="3" s="1"/>
  <c r="L19" i="3"/>
  <c r="H19" i="3"/>
  <c r="G19" i="3"/>
  <c r="F19" i="3"/>
  <c r="E19" i="3"/>
  <c r="D19" i="3"/>
  <c r="J18" i="3"/>
  <c r="K18" i="3" s="1"/>
  <c r="I17" i="3"/>
  <c r="J17" i="3" s="1"/>
  <c r="K17" i="3" s="1"/>
  <c r="I16" i="3"/>
  <c r="J16" i="3" s="1"/>
  <c r="L15" i="3"/>
  <c r="H15" i="3"/>
  <c r="G15" i="3"/>
  <c r="F15" i="3"/>
  <c r="E15" i="3"/>
  <c r="D15" i="3"/>
  <c r="J36" i="3" l="1"/>
  <c r="K36" i="3" s="1"/>
  <c r="G140" i="3"/>
  <c r="F120" i="3"/>
  <c r="D39" i="3"/>
  <c r="I78" i="3"/>
  <c r="H78" i="3"/>
  <c r="L126" i="3"/>
  <c r="L120" i="3" s="1"/>
  <c r="J32" i="3"/>
  <c r="K32" i="3" s="1"/>
  <c r="N32" i="3" s="1"/>
  <c r="I108" i="3"/>
  <c r="H105" i="3"/>
  <c r="L39" i="3"/>
  <c r="E140" i="3"/>
  <c r="D56" i="3"/>
  <c r="I96" i="3"/>
  <c r="J96" i="3" s="1"/>
  <c r="K96" i="3" s="1"/>
  <c r="M96" i="3" s="1"/>
  <c r="L14" i="3"/>
  <c r="F56" i="3"/>
  <c r="J108" i="3"/>
  <c r="K108" i="3" s="1"/>
  <c r="N108" i="3" s="1"/>
  <c r="I140" i="3"/>
  <c r="I139" i="3" s="1"/>
  <c r="G14" i="3"/>
  <c r="I15" i="3"/>
  <c r="J15" i="3" s="1"/>
  <c r="D14" i="3"/>
  <c r="H14" i="3"/>
  <c r="F39" i="3"/>
  <c r="H39" i="3"/>
  <c r="I44" i="3"/>
  <c r="J44" i="3" s="1"/>
  <c r="K44" i="3" s="1"/>
  <c r="J141" i="3"/>
  <c r="K141" i="3" s="1"/>
  <c r="N141" i="3" s="1"/>
  <c r="D140" i="3"/>
  <c r="D139" i="3" s="1"/>
  <c r="F140" i="3"/>
  <c r="F139" i="3" s="1"/>
  <c r="H140" i="3"/>
  <c r="H139" i="3" s="1"/>
  <c r="J157" i="3"/>
  <c r="K157" i="3" s="1"/>
  <c r="M157" i="3" s="1"/>
  <c r="F14" i="3"/>
  <c r="I22" i="3"/>
  <c r="J22" i="3" s="1"/>
  <c r="K22" i="3" s="1"/>
  <c r="J53" i="3"/>
  <c r="K53" i="3" s="1"/>
  <c r="N53" i="3" s="1"/>
  <c r="I66" i="3"/>
  <c r="J66" i="3" s="1"/>
  <c r="K66" i="3" s="1"/>
  <c r="J78" i="3"/>
  <c r="K78" i="3" s="1"/>
  <c r="J79" i="3"/>
  <c r="K79" i="3" s="1"/>
  <c r="N79" i="3" s="1"/>
  <c r="J103" i="3"/>
  <c r="K103" i="3" s="1"/>
  <c r="N103" i="3" s="1"/>
  <c r="H120" i="3"/>
  <c r="J126" i="3"/>
  <c r="I120" i="3"/>
  <c r="J154" i="3"/>
  <c r="J160" i="3"/>
  <c r="K160" i="3" s="1"/>
  <c r="M160" i="3" s="1"/>
  <c r="J166" i="3"/>
  <c r="K166" i="3" s="1"/>
  <c r="M166" i="3" s="1"/>
  <c r="J42" i="3"/>
  <c r="K42" i="3" s="1"/>
  <c r="N42" i="3" s="1"/>
  <c r="I40" i="3"/>
  <c r="J95" i="3"/>
  <c r="K95" i="3" s="1"/>
  <c r="N95" i="3" s="1"/>
  <c r="H92" i="3"/>
  <c r="J119" i="3"/>
  <c r="K119" i="3" s="1"/>
  <c r="M119" i="3" s="1"/>
  <c r="H118" i="3"/>
  <c r="J118" i="3" s="1"/>
  <c r="K118" i="3" s="1"/>
  <c r="G139" i="3"/>
  <c r="E14" i="3"/>
  <c r="L56" i="3"/>
  <c r="J89" i="3"/>
  <c r="K89" i="3" s="1"/>
  <c r="N89" i="3" s="1"/>
  <c r="I87" i="3"/>
  <c r="H101" i="3"/>
  <c r="J122" i="3"/>
  <c r="E121" i="3"/>
  <c r="D126" i="3"/>
  <c r="D120" i="3" s="1"/>
  <c r="J136" i="3"/>
  <c r="J40" i="3"/>
  <c r="K40" i="3" s="1"/>
  <c r="N40" i="3" s="1"/>
  <c r="G39" i="3"/>
  <c r="G56" i="3"/>
  <c r="G51" i="3" s="1"/>
  <c r="G50" i="3" s="1"/>
  <c r="J63" i="3"/>
  <c r="K63" i="3" s="1"/>
  <c r="M63" i="3" s="1"/>
  <c r="J87" i="3"/>
  <c r="K87" i="3" s="1"/>
  <c r="N87" i="3" s="1"/>
  <c r="I101" i="3"/>
  <c r="J105" i="3"/>
  <c r="K105" i="3" s="1"/>
  <c r="N105" i="3" s="1"/>
  <c r="J110" i="3"/>
  <c r="K110" i="3" s="1"/>
  <c r="M110" i="3" s="1"/>
  <c r="J114" i="3"/>
  <c r="K114" i="3" s="1"/>
  <c r="N114" i="3" s="1"/>
  <c r="J116" i="3"/>
  <c r="K116" i="3" s="1"/>
  <c r="M116" i="3" s="1"/>
  <c r="J127" i="3"/>
  <c r="K127" i="3" s="1"/>
  <c r="J133" i="3"/>
  <c r="K133" i="3" s="1"/>
  <c r="M133" i="3" s="1"/>
  <c r="E135" i="3"/>
  <c r="J135" i="3" s="1"/>
  <c r="D136" i="3"/>
  <c r="D135" i="3" s="1"/>
  <c r="J137" i="3"/>
  <c r="K137" i="3" s="1"/>
  <c r="J149" i="3"/>
  <c r="K149" i="3" s="1"/>
  <c r="E159" i="3"/>
  <c r="J159" i="3" s="1"/>
  <c r="K159" i="3" s="1"/>
  <c r="M159" i="3" s="1"/>
  <c r="E165" i="3"/>
  <c r="M17" i="3"/>
  <c r="N17" i="3"/>
  <c r="M33" i="3"/>
  <c r="N33" i="3"/>
  <c r="N37" i="3"/>
  <c r="M37" i="3"/>
  <c r="P37" i="3" s="1"/>
  <c r="N43" i="3"/>
  <c r="M43" i="3"/>
  <c r="N45" i="3"/>
  <c r="M45" i="3"/>
  <c r="M46" i="3"/>
  <c r="N46" i="3"/>
  <c r="N49" i="3"/>
  <c r="M49" i="3"/>
  <c r="M67" i="3"/>
  <c r="N67" i="3"/>
  <c r="M72" i="3"/>
  <c r="N72" i="3"/>
  <c r="M74" i="3"/>
  <c r="N74" i="3"/>
  <c r="M76" i="3"/>
  <c r="N76" i="3"/>
  <c r="M79" i="3"/>
  <c r="M82" i="3"/>
  <c r="N82" i="3"/>
  <c r="K16" i="3"/>
  <c r="N21" i="3"/>
  <c r="M21" i="3"/>
  <c r="N23" i="3"/>
  <c r="M23" i="3"/>
  <c r="M24" i="3"/>
  <c r="N24" i="3"/>
  <c r="M27" i="3"/>
  <c r="N27" i="3"/>
  <c r="M30" i="3"/>
  <c r="N30" i="3"/>
  <c r="M36" i="3"/>
  <c r="N36" i="3"/>
  <c r="M18" i="3"/>
  <c r="N18" i="3"/>
  <c r="M25" i="3"/>
  <c r="N25" i="3"/>
  <c r="N28" i="3"/>
  <c r="M28" i="3"/>
  <c r="M29" i="3"/>
  <c r="N29" i="3"/>
  <c r="N34" i="3"/>
  <c r="M34" i="3"/>
  <c r="N41" i="3"/>
  <c r="M41" i="3"/>
  <c r="N47" i="3"/>
  <c r="M47" i="3"/>
  <c r="M48" i="3"/>
  <c r="N48" i="3"/>
  <c r="M68" i="3"/>
  <c r="N68" i="3"/>
  <c r="M73" i="3"/>
  <c r="N73" i="3"/>
  <c r="M75" i="3"/>
  <c r="N75" i="3"/>
  <c r="M77" i="3"/>
  <c r="N77" i="3"/>
  <c r="I19" i="3"/>
  <c r="H35" i="3"/>
  <c r="E39" i="3"/>
  <c r="D52" i="3"/>
  <c r="F52" i="3"/>
  <c r="L52" i="3"/>
  <c r="M54" i="3"/>
  <c r="E56" i="3"/>
  <c r="H57" i="3"/>
  <c r="M70" i="3"/>
  <c r="M71" i="3"/>
  <c r="M80" i="3"/>
  <c r="M81" i="3"/>
  <c r="M95" i="3"/>
  <c r="N99" i="3"/>
  <c r="M99" i="3"/>
  <c r="M103" i="3"/>
  <c r="M107" i="3"/>
  <c r="N107" i="3"/>
  <c r="M108" i="3"/>
  <c r="M109" i="3"/>
  <c r="N109" i="3"/>
  <c r="N111" i="3"/>
  <c r="M111" i="3"/>
  <c r="N88" i="3"/>
  <c r="M88" i="3"/>
  <c r="N90" i="3"/>
  <c r="M90" i="3"/>
  <c r="M94" i="3"/>
  <c r="N94" i="3"/>
  <c r="M97" i="3"/>
  <c r="N97" i="3"/>
  <c r="N98" i="3"/>
  <c r="M98" i="3"/>
  <c r="N100" i="3"/>
  <c r="M100" i="3"/>
  <c r="N102" i="3"/>
  <c r="M102" i="3"/>
  <c r="N110" i="3"/>
  <c r="M115" i="3"/>
  <c r="N115" i="3"/>
  <c r="N104" i="3"/>
  <c r="J106" i="3"/>
  <c r="K106" i="3" s="1"/>
  <c r="M123" i="3"/>
  <c r="N123" i="3"/>
  <c r="M125" i="3"/>
  <c r="N125" i="3"/>
  <c r="M144" i="3"/>
  <c r="L141" i="3"/>
  <c r="N151" i="3"/>
  <c r="L151" i="3"/>
  <c r="M151" i="3" s="1"/>
  <c r="I92" i="3"/>
  <c r="I112" i="3"/>
  <c r="J112" i="3" s="1"/>
  <c r="K112" i="3" s="1"/>
  <c r="K122" i="3"/>
  <c r="N122" i="3" s="1"/>
  <c r="M124" i="3"/>
  <c r="N124" i="3"/>
  <c r="N132" i="3"/>
  <c r="M132" i="3"/>
  <c r="M150" i="3"/>
  <c r="K154" i="3"/>
  <c r="M154" i="3" s="1"/>
  <c r="M138" i="3"/>
  <c r="M87" i="3" l="1"/>
  <c r="F51" i="3"/>
  <c r="F50" i="3" s="1"/>
  <c r="M42" i="3"/>
  <c r="K135" i="3"/>
  <c r="N135" i="3" s="1"/>
  <c r="N44" i="3"/>
  <c r="M44" i="3"/>
  <c r="N78" i="3"/>
  <c r="M78" i="3"/>
  <c r="G13" i="3"/>
  <c r="G12" i="3" s="1"/>
  <c r="I39" i="3"/>
  <c r="J101" i="3"/>
  <c r="K101" i="3" s="1"/>
  <c r="L13" i="3"/>
  <c r="L12" i="3" s="1"/>
  <c r="D13" i="3"/>
  <c r="D12" i="3" s="1"/>
  <c r="N119" i="3"/>
  <c r="J140" i="3"/>
  <c r="K140" i="3" s="1"/>
  <c r="N140" i="3" s="1"/>
  <c r="N22" i="3"/>
  <c r="M22" i="3"/>
  <c r="M66" i="3"/>
  <c r="N66" i="3"/>
  <c r="M40" i="3"/>
  <c r="L149" i="3"/>
  <c r="H13" i="3"/>
  <c r="H12" i="3" s="1"/>
  <c r="M53" i="3"/>
  <c r="I14" i="3"/>
  <c r="J14" i="3" s="1"/>
  <c r="I56" i="3"/>
  <c r="I51" i="3" s="1"/>
  <c r="I50" i="3" s="1"/>
  <c r="M105" i="3"/>
  <c r="M89" i="3"/>
  <c r="F13" i="3"/>
  <c r="F12" i="3" s="1"/>
  <c r="F11" i="3" s="1"/>
  <c r="F170" i="3" s="1"/>
  <c r="K136" i="3"/>
  <c r="N136" i="3" s="1"/>
  <c r="M114" i="3"/>
  <c r="N96" i="3"/>
  <c r="N137" i="3"/>
  <c r="M137" i="3"/>
  <c r="M127" i="3"/>
  <c r="N127" i="3"/>
  <c r="N118" i="3"/>
  <c r="M118" i="3"/>
  <c r="N101" i="3"/>
  <c r="M101" i="3"/>
  <c r="J121" i="3"/>
  <c r="K121" i="3" s="1"/>
  <c r="E120" i="3"/>
  <c r="J120" i="3" s="1"/>
  <c r="K120" i="3" s="1"/>
  <c r="G11" i="3"/>
  <c r="G170" i="3" s="1"/>
  <c r="M149" i="3"/>
  <c r="K126" i="3"/>
  <c r="N126" i="3" s="1"/>
  <c r="H56" i="3"/>
  <c r="H51" i="3" s="1"/>
  <c r="H50" i="3" s="1"/>
  <c r="H11" i="3" s="1"/>
  <c r="H170" i="3" s="1"/>
  <c r="J39" i="3"/>
  <c r="K39" i="3" s="1"/>
  <c r="N39" i="3" s="1"/>
  <c r="M32" i="3"/>
  <c r="E139" i="3"/>
  <c r="J139" i="3" s="1"/>
  <c r="J165" i="3"/>
  <c r="K165" i="3" s="1"/>
  <c r="M165" i="3" s="1"/>
  <c r="N112" i="3"/>
  <c r="M112" i="3"/>
  <c r="M126" i="3"/>
  <c r="M122" i="3"/>
  <c r="N106" i="3"/>
  <c r="M106" i="3"/>
  <c r="J92" i="3"/>
  <c r="K92" i="3" s="1"/>
  <c r="L51" i="3"/>
  <c r="D51" i="3"/>
  <c r="J57" i="3"/>
  <c r="K57" i="3" s="1"/>
  <c r="M57" i="3" s="1"/>
  <c r="J52" i="3"/>
  <c r="K52" i="3" s="1"/>
  <c r="J35" i="3"/>
  <c r="K35" i="3" s="1"/>
  <c r="E13" i="3"/>
  <c r="M141" i="3"/>
  <c r="L140" i="3"/>
  <c r="E51" i="3"/>
  <c r="N16" i="3"/>
  <c r="K15" i="3"/>
  <c r="M16" i="3"/>
  <c r="J19" i="3"/>
  <c r="K19" i="3" s="1"/>
  <c r="M135" i="3" l="1"/>
  <c r="I13" i="3"/>
  <c r="I12" i="3" s="1"/>
  <c r="I11" i="3" s="1"/>
  <c r="I170" i="3" s="1"/>
  <c r="M39" i="3"/>
  <c r="K139" i="3"/>
  <c r="N139" i="3" s="1"/>
  <c r="M136" i="3"/>
  <c r="J56" i="3"/>
  <c r="K56" i="3" s="1"/>
  <c r="N56" i="3" s="1"/>
  <c r="N120" i="3"/>
  <c r="M120" i="3"/>
  <c r="E12" i="3"/>
  <c r="J12" i="3" s="1"/>
  <c r="J13" i="3"/>
  <c r="N121" i="3"/>
  <c r="M121" i="3"/>
  <c r="N52" i="3"/>
  <c r="M52" i="3"/>
  <c r="J51" i="3"/>
  <c r="K51" i="3" s="1"/>
  <c r="E50" i="3"/>
  <c r="J50" i="3" s="1"/>
  <c r="N92" i="3"/>
  <c r="M92" i="3"/>
  <c r="N19" i="3"/>
  <c r="M19" i="3"/>
  <c r="M15" i="3"/>
  <c r="K14" i="3"/>
  <c r="N15" i="3"/>
  <c r="M140" i="3"/>
  <c r="L139" i="3"/>
  <c r="M35" i="3"/>
  <c r="N35" i="3"/>
  <c r="D50" i="3"/>
  <c r="L50" i="3"/>
  <c r="E11" i="3" l="1"/>
  <c r="E170" i="3" s="1"/>
  <c r="M56" i="3"/>
  <c r="N51" i="3"/>
  <c r="M51" i="3"/>
  <c r="M139" i="3"/>
  <c r="L11" i="3"/>
  <c r="K50" i="3"/>
  <c r="N50" i="3" s="1"/>
  <c r="D11" i="3"/>
  <c r="D170" i="3" s="1"/>
  <c r="M14" i="3"/>
  <c r="N14" i="3"/>
  <c r="K13" i="3"/>
  <c r="J11" i="3" l="1"/>
  <c r="J170" i="3" s="1"/>
  <c r="L170" i="3"/>
  <c r="P14" i="3"/>
  <c r="N13" i="3"/>
  <c r="K12" i="3"/>
  <c r="M13" i="3"/>
  <c r="M50" i="3"/>
  <c r="N12" i="3" l="1"/>
  <c r="K11" i="3"/>
  <c r="M11" i="3" s="1"/>
  <c r="M12" i="3"/>
  <c r="K170" i="3" l="1"/>
  <c r="M170" i="3" s="1"/>
  <c r="N11" i="3"/>
  <c r="L15" i="1" l="1"/>
  <c r="L83" i="1" l="1"/>
  <c r="L122" i="1"/>
  <c r="L145" i="1"/>
  <c r="H124" i="1"/>
  <c r="G124" i="1"/>
  <c r="F124" i="1"/>
  <c r="E124" i="1"/>
  <c r="I108" i="1"/>
  <c r="J111" i="1"/>
  <c r="J110" i="1"/>
  <c r="K110" i="1" s="1"/>
  <c r="J109" i="1"/>
  <c r="H97" i="1"/>
  <c r="J98" i="1"/>
  <c r="K98" i="1" s="1"/>
  <c r="J100" i="1"/>
  <c r="L64" i="1"/>
  <c r="I64" i="1"/>
  <c r="G64" i="1"/>
  <c r="F64" i="1"/>
  <c r="E64" i="1"/>
  <c r="L52" i="1"/>
  <c r="L56" i="1"/>
  <c r="J42" i="1"/>
  <c r="J41" i="1"/>
  <c r="J40" i="1"/>
  <c r="J57" i="1"/>
  <c r="I56" i="1"/>
  <c r="G56" i="1"/>
  <c r="F56" i="1"/>
  <c r="E56" i="1"/>
  <c r="D56" i="1"/>
  <c r="L19" i="1"/>
  <c r="H19" i="1"/>
  <c r="G19" i="1"/>
  <c r="F19" i="1"/>
  <c r="E19" i="1"/>
  <c r="D19" i="1"/>
  <c r="I97" i="1" l="1"/>
  <c r="J99" i="1"/>
  <c r="I145" i="1"/>
  <c r="I144" i="1" s="1"/>
  <c r="H145" i="1"/>
  <c r="H144" i="1" s="1"/>
  <c r="G145" i="1"/>
  <c r="G144" i="1" s="1"/>
  <c r="F145" i="1"/>
  <c r="F144" i="1" s="1"/>
  <c r="E145" i="1"/>
  <c r="E144" i="1" s="1"/>
  <c r="G139" i="1"/>
  <c r="F139" i="1"/>
  <c r="E139" i="1"/>
  <c r="I135" i="1"/>
  <c r="H135" i="1"/>
  <c r="G135" i="1"/>
  <c r="F135" i="1"/>
  <c r="E135" i="1"/>
  <c r="I132" i="1"/>
  <c r="H132" i="1"/>
  <c r="G132" i="1"/>
  <c r="F132" i="1"/>
  <c r="E132" i="1"/>
  <c r="I128" i="1"/>
  <c r="I127" i="1" s="1"/>
  <c r="I126" i="1" s="1"/>
  <c r="H128" i="1"/>
  <c r="H127" i="1" s="1"/>
  <c r="H126" i="1" s="1"/>
  <c r="G128" i="1"/>
  <c r="G127" i="1" s="1"/>
  <c r="G126" i="1" s="1"/>
  <c r="F128" i="1"/>
  <c r="F127" i="1" s="1"/>
  <c r="E128" i="1"/>
  <c r="E127" i="1" s="1"/>
  <c r="E126" i="1" s="1"/>
  <c r="I122" i="1"/>
  <c r="H122" i="1"/>
  <c r="G122" i="1"/>
  <c r="G121" i="1" s="1"/>
  <c r="F122" i="1"/>
  <c r="E122" i="1"/>
  <c r="I118" i="1"/>
  <c r="I117" i="1" s="1"/>
  <c r="H118" i="1"/>
  <c r="H117" i="1" s="1"/>
  <c r="G118" i="1"/>
  <c r="G117" i="1" s="1"/>
  <c r="F118" i="1"/>
  <c r="F117" i="1" s="1"/>
  <c r="E118" i="1"/>
  <c r="I114" i="1"/>
  <c r="H114" i="1"/>
  <c r="G114" i="1"/>
  <c r="F114" i="1"/>
  <c r="E114" i="1"/>
  <c r="I112" i="1"/>
  <c r="H112" i="1"/>
  <c r="G112" i="1"/>
  <c r="F112" i="1"/>
  <c r="E112" i="1"/>
  <c r="H108" i="1"/>
  <c r="G108" i="1"/>
  <c r="F108" i="1"/>
  <c r="E108" i="1"/>
  <c r="I104" i="1"/>
  <c r="H104" i="1"/>
  <c r="G104" i="1"/>
  <c r="F104" i="1"/>
  <c r="E104" i="1"/>
  <c r="I101" i="1"/>
  <c r="G101" i="1"/>
  <c r="F101" i="1"/>
  <c r="E101" i="1"/>
  <c r="G97" i="1"/>
  <c r="F97" i="1"/>
  <c r="E97" i="1"/>
  <c r="I92" i="1"/>
  <c r="H92" i="1"/>
  <c r="G92" i="1"/>
  <c r="F92" i="1"/>
  <c r="E92" i="1"/>
  <c r="I88" i="1"/>
  <c r="H88" i="1"/>
  <c r="G88" i="1"/>
  <c r="F88" i="1"/>
  <c r="E88" i="1"/>
  <c r="I83" i="1"/>
  <c r="H83" i="1"/>
  <c r="G83" i="1"/>
  <c r="F83" i="1"/>
  <c r="E83" i="1"/>
  <c r="I76" i="1"/>
  <c r="G76" i="1"/>
  <c r="F76" i="1"/>
  <c r="E76" i="1"/>
  <c r="I61" i="1"/>
  <c r="G61" i="1"/>
  <c r="F61" i="1"/>
  <c r="E61" i="1"/>
  <c r="I52" i="1"/>
  <c r="I51" i="1" s="1"/>
  <c r="H52" i="1"/>
  <c r="H51" i="1" s="1"/>
  <c r="G52" i="1"/>
  <c r="G51" i="1" s="1"/>
  <c r="F52" i="1"/>
  <c r="F51" i="1" s="1"/>
  <c r="E52" i="1"/>
  <c r="E51" i="1" s="1"/>
  <c r="I43" i="1"/>
  <c r="H43" i="1"/>
  <c r="G43" i="1"/>
  <c r="F43" i="1"/>
  <c r="E43" i="1"/>
  <c r="I39" i="1"/>
  <c r="H39" i="1"/>
  <c r="G39" i="1"/>
  <c r="F39" i="1"/>
  <c r="E39" i="1"/>
  <c r="I34" i="1"/>
  <c r="H34" i="1"/>
  <c r="G34" i="1"/>
  <c r="F34" i="1"/>
  <c r="E34" i="1"/>
  <c r="I31" i="1"/>
  <c r="H31" i="1"/>
  <c r="G31" i="1"/>
  <c r="F31" i="1"/>
  <c r="E31" i="1"/>
  <c r="I21" i="1"/>
  <c r="H21" i="1"/>
  <c r="G21" i="1"/>
  <c r="F21" i="1"/>
  <c r="E21" i="1"/>
  <c r="H15" i="1"/>
  <c r="G15" i="1"/>
  <c r="F15" i="1"/>
  <c r="E15" i="1"/>
  <c r="H80" i="1"/>
  <c r="H76" i="1" s="1"/>
  <c r="H65" i="1"/>
  <c r="J60" i="1"/>
  <c r="K60" i="1" s="1"/>
  <c r="H58" i="1"/>
  <c r="H56" i="1" s="1"/>
  <c r="H63" i="1"/>
  <c r="H61" i="1" s="1"/>
  <c r="I16" i="1"/>
  <c r="J16" i="1" s="1"/>
  <c r="I143" i="1"/>
  <c r="I139" i="1" s="1"/>
  <c r="H141" i="1"/>
  <c r="J141" i="1" s="1"/>
  <c r="K141" i="1" s="1"/>
  <c r="I125" i="1"/>
  <c r="I124" i="1" s="1"/>
  <c r="H102" i="1"/>
  <c r="H101" i="1" s="1"/>
  <c r="I20" i="1"/>
  <c r="K99" i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2" i="1"/>
  <c r="K142" i="1" s="1"/>
  <c r="J140" i="1"/>
  <c r="K140" i="1" s="1"/>
  <c r="J138" i="1"/>
  <c r="K138" i="1" s="1"/>
  <c r="J137" i="1"/>
  <c r="K137" i="1" s="1"/>
  <c r="J136" i="1"/>
  <c r="K136" i="1" s="1"/>
  <c r="J134" i="1"/>
  <c r="K134" i="1" s="1"/>
  <c r="J133" i="1"/>
  <c r="K133" i="1" s="1"/>
  <c r="J129" i="1"/>
  <c r="K129" i="1" s="1"/>
  <c r="J123" i="1"/>
  <c r="K123" i="1" s="1"/>
  <c r="J120" i="1"/>
  <c r="K120" i="1" s="1"/>
  <c r="J119" i="1"/>
  <c r="K119" i="1" s="1"/>
  <c r="J115" i="1"/>
  <c r="K115" i="1" s="1"/>
  <c r="J113" i="1"/>
  <c r="K113" i="1" s="1"/>
  <c r="K111" i="1"/>
  <c r="N110" i="1"/>
  <c r="K109" i="1"/>
  <c r="J107" i="1"/>
  <c r="K107" i="1" s="1"/>
  <c r="J106" i="1"/>
  <c r="K106" i="1" s="1"/>
  <c r="J105" i="1"/>
  <c r="K105" i="1" s="1"/>
  <c r="J103" i="1"/>
  <c r="K103" i="1" s="1"/>
  <c r="K100" i="1"/>
  <c r="J96" i="1"/>
  <c r="K96" i="1" s="1"/>
  <c r="J95" i="1"/>
  <c r="K95" i="1" s="1"/>
  <c r="J94" i="1"/>
  <c r="K94" i="1" s="1"/>
  <c r="J93" i="1"/>
  <c r="K93" i="1" s="1"/>
  <c r="J91" i="1"/>
  <c r="K91" i="1" s="1"/>
  <c r="J90" i="1"/>
  <c r="K90" i="1" s="1"/>
  <c r="J89" i="1"/>
  <c r="K89" i="1" s="1"/>
  <c r="J87" i="1"/>
  <c r="K87" i="1" s="1"/>
  <c r="J86" i="1"/>
  <c r="K86" i="1" s="1"/>
  <c r="J85" i="1"/>
  <c r="K85" i="1" s="1"/>
  <c r="J84" i="1"/>
  <c r="K84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3" i="1"/>
  <c r="K63" i="1" s="1"/>
  <c r="J62" i="1"/>
  <c r="K62" i="1" s="1"/>
  <c r="J59" i="1"/>
  <c r="K59" i="1" s="1"/>
  <c r="J58" i="1"/>
  <c r="K58" i="1" s="1"/>
  <c r="K57" i="1"/>
  <c r="J56" i="1"/>
  <c r="J54" i="1"/>
  <c r="K54" i="1" s="1"/>
  <c r="J53" i="1"/>
  <c r="K53" i="1" s="1"/>
  <c r="J48" i="1"/>
  <c r="K48" i="1" s="1"/>
  <c r="J47" i="1"/>
  <c r="K47" i="1" s="1"/>
  <c r="J46" i="1"/>
  <c r="K46" i="1" s="1"/>
  <c r="J45" i="1"/>
  <c r="K45" i="1" s="1"/>
  <c r="J44" i="1"/>
  <c r="K44" i="1" s="1"/>
  <c r="K42" i="1"/>
  <c r="K41" i="1"/>
  <c r="K40" i="1"/>
  <c r="J37" i="1"/>
  <c r="K37" i="1" s="1"/>
  <c r="J36" i="1"/>
  <c r="K36" i="1" s="1"/>
  <c r="J35" i="1"/>
  <c r="K35" i="1" s="1"/>
  <c r="J33" i="1"/>
  <c r="K33" i="1" s="1"/>
  <c r="J32" i="1"/>
  <c r="K32" i="1" s="1"/>
  <c r="J30" i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18" i="1"/>
  <c r="K18" i="1" s="1"/>
  <c r="M18" i="1" s="1"/>
  <c r="J17" i="1"/>
  <c r="K17" i="1" s="1"/>
  <c r="M17" i="1" s="1"/>
  <c r="D145" i="1"/>
  <c r="D139" i="1"/>
  <c r="D135" i="1"/>
  <c r="D132" i="1"/>
  <c r="D128" i="1"/>
  <c r="D127" i="1" s="1"/>
  <c r="D126" i="1" s="1"/>
  <c r="D122" i="1"/>
  <c r="D124" i="1"/>
  <c r="D118" i="1"/>
  <c r="D114" i="1"/>
  <c r="D112" i="1"/>
  <c r="D108" i="1"/>
  <c r="D104" i="1"/>
  <c r="D101" i="1"/>
  <c r="D97" i="1"/>
  <c r="D92" i="1"/>
  <c r="D88" i="1"/>
  <c r="D83" i="1"/>
  <c r="D76" i="1"/>
  <c r="D64" i="1"/>
  <c r="D61" i="1"/>
  <c r="D52" i="1"/>
  <c r="D51" i="1" s="1"/>
  <c r="D39" i="1"/>
  <c r="D43" i="1"/>
  <c r="D34" i="1"/>
  <c r="D31" i="1"/>
  <c r="D21" i="1"/>
  <c r="D15" i="1"/>
  <c r="J132" i="1" l="1"/>
  <c r="K16" i="1"/>
  <c r="J15" i="1"/>
  <c r="K30" i="1"/>
  <c r="J39" i="1"/>
  <c r="G38" i="1"/>
  <c r="J125" i="1"/>
  <c r="K125" i="1" s="1"/>
  <c r="J143" i="1"/>
  <c r="K143" i="1" s="1"/>
  <c r="J65" i="1"/>
  <c r="K65" i="1" s="1"/>
  <c r="N65" i="1" s="1"/>
  <c r="H64" i="1"/>
  <c r="J64" i="1" s="1"/>
  <c r="K132" i="1"/>
  <c r="N132" i="1" s="1"/>
  <c r="J102" i="1"/>
  <c r="K102" i="1" s="1"/>
  <c r="N102" i="1" s="1"/>
  <c r="J20" i="1"/>
  <c r="K20" i="1" s="1"/>
  <c r="M20" i="1" s="1"/>
  <c r="I19" i="1"/>
  <c r="J19" i="1" s="1"/>
  <c r="K19" i="1" s="1"/>
  <c r="N19" i="1" s="1"/>
  <c r="J97" i="1"/>
  <c r="K97" i="1" s="1"/>
  <c r="N97" i="1" s="1"/>
  <c r="J108" i="1"/>
  <c r="K108" i="1" s="1"/>
  <c r="N108" i="1" s="1"/>
  <c r="E117" i="1"/>
  <c r="J117" i="1" s="1"/>
  <c r="J118" i="1"/>
  <c r="K118" i="1" s="1"/>
  <c r="N118" i="1" s="1"/>
  <c r="J92" i="1"/>
  <c r="K92" i="1" s="1"/>
  <c r="N92" i="1" s="1"/>
  <c r="I55" i="1"/>
  <c r="I50" i="1" s="1"/>
  <c r="I49" i="1" s="1"/>
  <c r="J88" i="1"/>
  <c r="K88" i="1" s="1"/>
  <c r="N88" i="1" s="1"/>
  <c r="J76" i="1"/>
  <c r="K76" i="1" s="1"/>
  <c r="N76" i="1" s="1"/>
  <c r="J83" i="1"/>
  <c r="K83" i="1" s="1"/>
  <c r="N83" i="1" s="1"/>
  <c r="E14" i="1"/>
  <c r="J21" i="1"/>
  <c r="K21" i="1" s="1"/>
  <c r="N21" i="1" s="1"/>
  <c r="I131" i="1"/>
  <c r="I130" i="1" s="1"/>
  <c r="J31" i="1"/>
  <c r="K31" i="1" s="1"/>
  <c r="N31" i="1" s="1"/>
  <c r="E38" i="1"/>
  <c r="I38" i="1"/>
  <c r="J43" i="1"/>
  <c r="K43" i="1" s="1"/>
  <c r="N43" i="1" s="1"/>
  <c r="J51" i="1"/>
  <c r="J104" i="1"/>
  <c r="K104" i="1" s="1"/>
  <c r="N104" i="1" s="1"/>
  <c r="J112" i="1"/>
  <c r="K112" i="1" s="1"/>
  <c r="J114" i="1"/>
  <c r="E121" i="1"/>
  <c r="E116" i="1" s="1"/>
  <c r="F131" i="1"/>
  <c r="F130" i="1" s="1"/>
  <c r="J135" i="1"/>
  <c r="K135" i="1" s="1"/>
  <c r="G131" i="1"/>
  <c r="G130" i="1" s="1"/>
  <c r="I121" i="1"/>
  <c r="I116" i="1" s="1"/>
  <c r="J101" i="1"/>
  <c r="K101" i="1" s="1"/>
  <c r="N101" i="1" s="1"/>
  <c r="M151" i="1"/>
  <c r="H14" i="1"/>
  <c r="J124" i="1"/>
  <c r="K124" i="1" s="1"/>
  <c r="D131" i="1"/>
  <c r="H139" i="1"/>
  <c r="H131" i="1" s="1"/>
  <c r="K64" i="1"/>
  <c r="M64" i="1" s="1"/>
  <c r="J52" i="1"/>
  <c r="K52" i="1" s="1"/>
  <c r="N52" i="1" s="1"/>
  <c r="J122" i="1"/>
  <c r="K122" i="1" s="1"/>
  <c r="N122" i="1" s="1"/>
  <c r="J145" i="1"/>
  <c r="K145" i="1" s="1"/>
  <c r="N98" i="1"/>
  <c r="I15" i="1"/>
  <c r="G14" i="1"/>
  <c r="J34" i="1"/>
  <c r="K34" i="1" s="1"/>
  <c r="N34" i="1" s="1"/>
  <c r="E131" i="1"/>
  <c r="E130" i="1" s="1"/>
  <c r="J144" i="1"/>
  <c r="F126" i="1"/>
  <c r="J126" i="1" s="1"/>
  <c r="K126" i="1" s="1"/>
  <c r="J127" i="1"/>
  <c r="J128" i="1"/>
  <c r="K128" i="1" s="1"/>
  <c r="F121" i="1"/>
  <c r="F116" i="1" s="1"/>
  <c r="H121" i="1"/>
  <c r="H116" i="1" s="1"/>
  <c r="G116" i="1"/>
  <c r="K114" i="1"/>
  <c r="N114" i="1" s="1"/>
  <c r="E55" i="1"/>
  <c r="E50" i="1" s="1"/>
  <c r="E49" i="1" s="1"/>
  <c r="G55" i="1"/>
  <c r="G50" i="1" s="1"/>
  <c r="G49" i="1" s="1"/>
  <c r="F55" i="1"/>
  <c r="F50" i="1" s="1"/>
  <c r="F49" i="1" s="1"/>
  <c r="H55" i="1"/>
  <c r="H50" i="1" s="1"/>
  <c r="H49" i="1" s="1"/>
  <c r="J61" i="1"/>
  <c r="K61" i="1" s="1"/>
  <c r="F38" i="1"/>
  <c r="H38" i="1"/>
  <c r="F14" i="1"/>
  <c r="K56" i="1"/>
  <c r="K39" i="1"/>
  <c r="N39" i="1" s="1"/>
  <c r="D144" i="1"/>
  <c r="D117" i="1"/>
  <c r="D38" i="1"/>
  <c r="D55" i="1"/>
  <c r="D50" i="1" s="1"/>
  <c r="K127" i="1"/>
  <c r="D121" i="1"/>
  <c r="D14" i="1"/>
  <c r="N137" i="1"/>
  <c r="N123" i="1"/>
  <c r="N120" i="1"/>
  <c r="N119" i="1"/>
  <c r="N115" i="1"/>
  <c r="N111" i="1"/>
  <c r="N107" i="1"/>
  <c r="N106" i="1"/>
  <c r="N105" i="1"/>
  <c r="N103" i="1"/>
  <c r="N100" i="1"/>
  <c r="N99" i="1"/>
  <c r="N96" i="1"/>
  <c r="N95" i="1"/>
  <c r="N94" i="1"/>
  <c r="N93" i="1"/>
  <c r="N91" i="1"/>
  <c r="N90" i="1"/>
  <c r="N86" i="1"/>
  <c r="N85" i="1"/>
  <c r="N84" i="1"/>
  <c r="N80" i="1"/>
  <c r="N79" i="1"/>
  <c r="N78" i="1"/>
  <c r="N77" i="1"/>
  <c r="N75" i="1"/>
  <c r="N74" i="1"/>
  <c r="N73" i="1"/>
  <c r="N72" i="1"/>
  <c r="N71" i="1"/>
  <c r="N70" i="1"/>
  <c r="N69" i="1"/>
  <c r="N68" i="1"/>
  <c r="N66" i="1"/>
  <c r="N54" i="1"/>
  <c r="N53" i="1"/>
  <c r="N48" i="1"/>
  <c r="N47" i="1"/>
  <c r="N46" i="1"/>
  <c r="N45" i="1"/>
  <c r="N44" i="1"/>
  <c r="N42" i="1"/>
  <c r="N41" i="1"/>
  <c r="N40" i="1"/>
  <c r="N36" i="1"/>
  <c r="N35" i="1"/>
  <c r="N33" i="1"/>
  <c r="N32" i="1"/>
  <c r="N29" i="1"/>
  <c r="N28" i="1"/>
  <c r="N27" i="1"/>
  <c r="N26" i="1"/>
  <c r="N24" i="1"/>
  <c r="N23" i="1"/>
  <c r="N22" i="1"/>
  <c r="N20" i="1"/>
  <c r="N18" i="1"/>
  <c r="N17" i="1"/>
  <c r="N16" i="1"/>
  <c r="J14" i="1" l="1"/>
  <c r="M16" i="1"/>
  <c r="K15" i="1"/>
  <c r="K14" i="1" s="1"/>
  <c r="G13" i="1"/>
  <c r="G12" i="1" s="1"/>
  <c r="G11" i="1" s="1"/>
  <c r="G152" i="1" s="1"/>
  <c r="J116" i="1"/>
  <c r="J139" i="1"/>
  <c r="K139" i="1" s="1"/>
  <c r="J38" i="1"/>
  <c r="I14" i="1"/>
  <c r="I13" i="1" s="1"/>
  <c r="I12" i="1" s="1"/>
  <c r="K117" i="1"/>
  <c r="N117" i="1" s="1"/>
  <c r="K51" i="1"/>
  <c r="N51" i="1" s="1"/>
  <c r="F13" i="1"/>
  <c r="F12" i="1" s="1"/>
  <c r="E13" i="1"/>
  <c r="E12" i="1" s="1"/>
  <c r="N64" i="1"/>
  <c r="H13" i="1"/>
  <c r="H12" i="1" s="1"/>
  <c r="H11" i="1" s="1"/>
  <c r="H130" i="1"/>
  <c r="J130" i="1" s="1"/>
  <c r="J131" i="1"/>
  <c r="K131" i="1" s="1"/>
  <c r="M150" i="1"/>
  <c r="J121" i="1"/>
  <c r="K121" i="1" s="1"/>
  <c r="N121" i="1" s="1"/>
  <c r="J55" i="1"/>
  <c r="K55" i="1" s="1"/>
  <c r="N55" i="1" s="1"/>
  <c r="J50" i="1"/>
  <c r="K50" i="1" s="1"/>
  <c r="J49" i="1"/>
  <c r="D116" i="1"/>
  <c r="D13" i="1"/>
  <c r="D130" i="1"/>
  <c r="K144" i="1"/>
  <c r="N129" i="1"/>
  <c r="N128" i="1"/>
  <c r="E11" i="1" l="1"/>
  <c r="E152" i="1" s="1"/>
  <c r="F11" i="1"/>
  <c r="F152" i="1" s="1"/>
  <c r="N15" i="1"/>
  <c r="J13" i="1"/>
  <c r="J12" i="1" s="1"/>
  <c r="J11" i="1" s="1"/>
  <c r="J152" i="1" s="1"/>
  <c r="I11" i="1"/>
  <c r="I152" i="1" s="1"/>
  <c r="K38" i="1"/>
  <c r="N38" i="1" s="1"/>
  <c r="H152" i="1"/>
  <c r="K13" i="1"/>
  <c r="K12" i="1" s="1"/>
  <c r="K116" i="1"/>
  <c r="N116" i="1" s="1"/>
  <c r="K130" i="1"/>
  <c r="N130" i="1" s="1"/>
  <c r="M149" i="1"/>
  <c r="D49" i="1"/>
  <c r="K49" i="1" s="1"/>
  <c r="N49" i="1" s="1"/>
  <c r="N50" i="1"/>
  <c r="D12" i="1"/>
  <c r="N14" i="1"/>
  <c r="N126" i="1"/>
  <c r="N127" i="1"/>
  <c r="N131" i="1"/>
  <c r="M148" i="1" l="1"/>
  <c r="D11" i="1"/>
  <c r="D152" i="1" s="1"/>
  <c r="N13" i="1"/>
  <c r="P14" i="1"/>
  <c r="M147" i="1" l="1"/>
  <c r="K11" i="1"/>
  <c r="N12" i="1"/>
  <c r="M146" i="1" l="1"/>
  <c r="N11" i="1"/>
  <c r="K152" i="1"/>
  <c r="L144" i="1" l="1"/>
  <c r="M145" i="1"/>
  <c r="M144" i="1" l="1"/>
  <c r="M141" i="1" l="1"/>
  <c r="M140" i="1" l="1"/>
  <c r="L139" i="1"/>
  <c r="M139" i="1" l="1"/>
  <c r="M138" i="1" l="1"/>
  <c r="M137" i="1" l="1"/>
  <c r="L135" i="1" l="1"/>
  <c r="M136" i="1"/>
  <c r="M135" i="1" l="1"/>
  <c r="M134" i="1" l="1"/>
  <c r="L132" i="1" l="1"/>
  <c r="M133" i="1"/>
  <c r="L131" i="1" l="1"/>
  <c r="L130" i="1" s="1"/>
  <c r="M132" i="1"/>
  <c r="M131" i="1" l="1"/>
  <c r="M130" i="1" l="1"/>
  <c r="L128" i="1" l="1"/>
  <c r="M129" i="1"/>
  <c r="L127" i="1" l="1"/>
  <c r="M128" i="1"/>
  <c r="L126" i="1" l="1"/>
  <c r="M127" i="1"/>
  <c r="L124" i="1" l="1"/>
  <c r="L121" i="1" s="1"/>
  <c r="M126" i="1"/>
  <c r="M123" i="1" l="1"/>
  <c r="M122" i="1" l="1"/>
  <c r="M121" i="1" l="1"/>
  <c r="L118" i="1" l="1"/>
  <c r="M119" i="1"/>
  <c r="L117" i="1" l="1"/>
  <c r="L116" i="1" s="1"/>
  <c r="M118" i="1"/>
  <c r="M117" i="1" l="1"/>
  <c r="M116" i="1" l="1"/>
  <c r="L114" i="1" l="1"/>
  <c r="M115" i="1"/>
  <c r="M114" i="1" l="1"/>
  <c r="L112" i="1" l="1"/>
  <c r="M113" i="1"/>
  <c r="M112" i="1" l="1"/>
  <c r="M111" i="1" l="1"/>
  <c r="M110" i="1" l="1"/>
  <c r="L108" i="1" l="1"/>
  <c r="M109" i="1"/>
  <c r="M108" i="1" l="1"/>
  <c r="M107" i="1" l="1"/>
  <c r="M106" i="1" l="1"/>
  <c r="L104" i="1" l="1"/>
  <c r="M105" i="1"/>
  <c r="M104" i="1" l="1"/>
  <c r="L101" i="1" l="1"/>
  <c r="M102" i="1"/>
  <c r="M101" i="1" l="1"/>
  <c r="M100" i="1" l="1"/>
  <c r="M99" i="1" l="1"/>
  <c r="L97" i="1" l="1"/>
  <c r="M98" i="1"/>
  <c r="M97" i="1" l="1"/>
  <c r="M96" i="1" l="1"/>
  <c r="M95" i="1" l="1"/>
  <c r="M94" i="1" l="1"/>
  <c r="L92" i="1" l="1"/>
  <c r="M93" i="1"/>
  <c r="M92" i="1" l="1"/>
  <c r="M91" i="1" l="1"/>
  <c r="M90" i="1" l="1"/>
  <c r="L88" i="1" l="1"/>
  <c r="M89" i="1"/>
  <c r="M88" i="1" l="1"/>
  <c r="M86" i="1" l="1"/>
  <c r="M85" i="1" l="1"/>
  <c r="M84" i="1" l="1"/>
  <c r="M83" i="1" l="1"/>
  <c r="M82" i="1" l="1"/>
  <c r="M81" i="1" l="1"/>
  <c r="M80" i="1" l="1"/>
  <c r="M79" i="1" l="1"/>
  <c r="M78" i="1" l="1"/>
  <c r="L76" i="1" l="1"/>
  <c r="M77" i="1"/>
  <c r="M76" i="1" l="1"/>
  <c r="M75" i="1" l="1"/>
  <c r="M74" i="1" l="1"/>
  <c r="M73" i="1" l="1"/>
  <c r="M72" i="1" l="1"/>
  <c r="M71" i="1" l="1"/>
  <c r="M70" i="1" l="1"/>
  <c r="M69" i="1" l="1"/>
  <c r="M68" i="1" l="1"/>
  <c r="M67" i="1" l="1"/>
  <c r="M66" i="1" l="1"/>
  <c r="M65" i="1" l="1"/>
  <c r="M63" i="1" l="1"/>
  <c r="M62" i="1" l="1"/>
  <c r="M60" i="1"/>
  <c r="L61" i="1"/>
  <c r="L55" i="1" s="1"/>
  <c r="M61" i="1" l="1"/>
  <c r="M59" i="1" l="1"/>
  <c r="M58" i="1" l="1"/>
  <c r="M57" i="1" l="1"/>
  <c r="M56" i="1" l="1"/>
  <c r="M55" i="1" l="1"/>
  <c r="M53" i="1" l="1"/>
  <c r="M15" i="1" l="1"/>
  <c r="L51" i="1"/>
  <c r="L50" i="1" s="1"/>
  <c r="L49" i="1" s="1"/>
  <c r="M52" i="1"/>
  <c r="M51" i="1" l="1"/>
  <c r="M50" i="1" l="1"/>
  <c r="M49" i="1" l="1"/>
  <c r="M48" i="1" l="1"/>
  <c r="M47" i="1" l="1"/>
  <c r="M46" i="1" l="1"/>
  <c r="M45" i="1" l="1"/>
  <c r="L43" i="1" l="1"/>
  <c r="M44" i="1"/>
  <c r="M43" i="1" l="1"/>
  <c r="M42" i="1" l="1"/>
  <c r="M41" i="1" l="1"/>
  <c r="L39" i="1" l="1"/>
  <c r="M40" i="1"/>
  <c r="L38" i="1" l="1"/>
  <c r="M39" i="1"/>
  <c r="M38" i="1" l="1"/>
  <c r="M36" i="1" l="1"/>
  <c r="P36" i="1" s="1"/>
  <c r="L34" i="1" l="1"/>
  <c r="M35" i="1"/>
  <c r="M34" i="1" l="1"/>
  <c r="M33" i="1" l="1"/>
  <c r="L31" i="1" l="1"/>
  <c r="M32" i="1"/>
  <c r="M31" i="1" l="1"/>
  <c r="M29" i="1" l="1"/>
  <c r="M28" i="1" l="1"/>
  <c r="M27" i="1" l="1"/>
  <c r="M26" i="1" l="1"/>
  <c r="M25" i="1" l="1"/>
  <c r="M24" i="1" l="1"/>
  <c r="M23" i="1" l="1"/>
  <c r="L21" i="1" l="1"/>
  <c r="L14" i="1" s="1"/>
  <c r="L13" i="1" s="1"/>
  <c r="L12" i="1" s="1"/>
  <c r="M22" i="1"/>
  <c r="M14" i="1" l="1"/>
  <c r="M19" i="1"/>
  <c r="M21" i="1"/>
  <c r="L11" i="1" l="1"/>
  <c r="M13" i="1"/>
  <c r="L152" i="1" l="1"/>
  <c r="M11" i="1"/>
  <c r="M152" i="1"/>
  <c r="M12" i="1"/>
  <c r="L149" i="13" l="1"/>
  <c r="L118" i="13" l="1"/>
  <c r="L117" i="13"/>
</calcChain>
</file>

<file path=xl/sharedStrings.xml><?xml version="1.0" encoding="utf-8"?>
<sst xmlns="http://schemas.openxmlformats.org/spreadsheetml/2006/main" count="1543" uniqueCount="253">
  <si>
    <t>CERTIFICADOS
ACUMULADOS</t>
  </si>
  <si>
    <t>COMPROMISOS
ACUMULADOS</t>
  </si>
  <si>
    <t>A</t>
  </si>
  <si>
    <t>FUNCIONAMIENTO</t>
  </si>
  <si>
    <t>GASTOS DE PERSONAL</t>
  </si>
  <si>
    <t>SERVICIOS PERSONALES ASOCIADOS A NOMINA</t>
  </si>
  <si>
    <t>SUELDOS DE PERSONAL DE NOMINA</t>
  </si>
  <si>
    <t>SUELDOS</t>
  </si>
  <si>
    <t>SUELDOS DE VACACIONES</t>
  </si>
  <si>
    <t>INCAPACIDADES Y LICENCIA DE MATERNIDAD</t>
  </si>
  <si>
    <t>PRIMA TECNICA</t>
  </si>
  <si>
    <t>PRIMA TECNICA NO SALARIAL</t>
  </si>
  <si>
    <t>OTROS</t>
  </si>
  <si>
    <t>BONIFICACION POR SERVICIOS PRESTADOS</t>
  </si>
  <si>
    <t>BONIFICACION ESPECIAL DE RECREACION</t>
  </si>
  <si>
    <t>SUBSIDIO DE ALIMENTACION</t>
  </si>
  <si>
    <t>PRIMA DE SERVICIO</t>
  </si>
  <si>
    <t>PRIMA DE VACACIONES</t>
  </si>
  <si>
    <t>PRIMA DE NAVIDAD</t>
  </si>
  <si>
    <t>BONIFICACION DE DIRECCION</t>
  </si>
  <si>
    <t>HORAS EXTRAS DIAS FESTIVOS E INDEMNIZACION POR VACACIONES</t>
  </si>
  <si>
    <t>HORAS EXTRAS</t>
  </si>
  <si>
    <t>INDEMNIZACION POR VACACIONES</t>
  </si>
  <si>
    <t>OTROS GASTOS PERSONALES-PREVIO CONCEPTO DGPPN</t>
  </si>
  <si>
    <t>SERVICIOS PERSONALES INDIRECTOS</t>
  </si>
  <si>
    <t>HONORARIOS</t>
  </si>
  <si>
    <t>REMUNERACION SERVICIOS TECNICOS</t>
  </si>
  <si>
    <t>CONTRIBUCIONES INHERENTES A LA NOMINA SECTOR PRIVADO Y PUBLICO</t>
  </si>
  <si>
    <t>ADMINISTRADAS POR EL SECTOR PRIVADO</t>
  </si>
  <si>
    <t>CAJAS DE COMPENSACION PRIVADAS</t>
  </si>
  <si>
    <t>FONDOS ADMINISTRADORES DE PENSIONES PRIVADAS</t>
  </si>
  <si>
    <t>EMPRESAS PRIVADAS PROMOTORAS DE SALUD</t>
  </si>
  <si>
    <t>ADMINISTRADAS POR EL SECTOR PUBLICO</t>
  </si>
  <si>
    <t>FONDO NACIONAL DEL AHORRO</t>
  </si>
  <si>
    <t>FONDOS ADMINISTRADORES DE PENSIONES PUBLICOS</t>
  </si>
  <si>
    <t>ADMINISTRADORAS PUBLICAS DE APORTES PARA ACCIDENTES DE TRABAJO Y ENFERMEDADES PROFESIONALES</t>
  </si>
  <si>
    <t>APORTES AL ICBF</t>
  </si>
  <si>
    <t>APORTES AL SENA</t>
  </si>
  <si>
    <t>GASTOS GENERALES</t>
  </si>
  <si>
    <t>IMPUESTOS Y MULTAS</t>
  </si>
  <si>
    <t>IMPUESTOS Y CONTRIBUCIONES</t>
  </si>
  <si>
    <t>IMPUESTO DE VEHICULO</t>
  </si>
  <si>
    <t>IMPUESTO PREDIAL</t>
  </si>
  <si>
    <t>ADQUISICION DE BIENES Y SERVICIOS</t>
  </si>
  <si>
    <t>MATERIALES Y SUMINISTROS</t>
  </si>
  <si>
    <t>COMBUSTIBLE Y LUBRICANTES</t>
  </si>
  <si>
    <t>DOTACION</t>
  </si>
  <si>
    <t>MATERIALES DE CONSTRUCCION</t>
  </si>
  <si>
    <t>MEDICAMENTOS Y PRODUCTOS FARMACEUTICOS</t>
  </si>
  <si>
    <t>PAPELERIA, UTILES DE ESCRITORIO Y OFICINA</t>
  </si>
  <si>
    <t xml:space="preserve">PRODUCTOS DE ASEO Y LIMPIEZA </t>
  </si>
  <si>
    <t>PRODUCTOS DE CAFETERIA Y RESTAURANTE</t>
  </si>
  <si>
    <t>REPUESTOS</t>
  </si>
  <si>
    <t>UTENSILIOS DE CAFETERIA</t>
  </si>
  <si>
    <t>OTROS MATERIALES Y SUMINISTROS</t>
  </si>
  <si>
    <t>MANTENIMIENTO</t>
  </si>
  <si>
    <t>MANTENIMIENTO DE BIENES INMUEBLES</t>
  </si>
  <si>
    <t>MANTENIMIENTO DE BIENES MUEBLES, EQUIPOS Y ENSERES</t>
  </si>
  <si>
    <t>MANTENIMIENTO EQUIPO COMUNICACIONES Y COMPUTACION</t>
  </si>
  <si>
    <t>MANTENIMIENTO EQUIPO DE NAVEGACION Y TRANSPORTE</t>
  </si>
  <si>
    <t>MANTENIMIENTO DE OTROS BIENES</t>
  </si>
  <si>
    <t>MANTENIMIENTO DE SOFTWARE</t>
  </si>
  <si>
    <t>COMUNICACIONES Y TRANSPORTE</t>
  </si>
  <si>
    <t>CORREO</t>
  </si>
  <si>
    <t>SERVICIOS DE TRANSMISION DE INFORMACION</t>
  </si>
  <si>
    <t>TRANSPORTE</t>
  </si>
  <si>
    <t>OTROS COMUNICACIONES Y TRANSPORTE</t>
  </si>
  <si>
    <t>IMPRESOS Y PUBLICACIONES</t>
  </si>
  <si>
    <t>SUSCRIPCIONES</t>
  </si>
  <si>
    <t>OTROS GASTOS POR IMPRESOS Y PUBLICACIONES</t>
  </si>
  <si>
    <t>SERVICIOS PUBLICOS</t>
  </si>
  <si>
    <t>ACUEDUCTO ALCANTARILLADO Y ASEO</t>
  </si>
  <si>
    <t>ENERGIA</t>
  </si>
  <si>
    <t>TELEFONIA MOVIL CELULAR</t>
  </si>
  <si>
    <t>TELEFONO FAX Y OTROS</t>
  </si>
  <si>
    <t>SEGUROS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</si>
  <si>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</si>
  <si>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</si>
  <si>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</si>
  <si>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</si>
  <si>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</si>
  <si>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</si>
  <si>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</si>
  <si>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</si>
  <si>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GASTOS JUDICIALES</t>
  </si>
  <si>
    <t>CAPACITACION BIENESTAR SOCIAL Y ESTIMULOS</t>
  </si>
  <si>
    <t>SERVICIOS DE BIENESTAR SOCIAL</t>
  </si>
  <si>
    <t>OTROS GASTOS POR ADQUISICION DE SERVICIOS</t>
  </si>
  <si>
    <t>TRANSFERENCIAS CORRIENTES</t>
  </si>
  <si>
    <t>TRANSFERENCIAS AL SECTOR PÚBLICO</t>
  </si>
  <si>
    <t>ORDEN NACIONAL</t>
  </si>
  <si>
    <t>CUOTA DE AUDITAJE CONTRANAL</t>
  </si>
  <si>
    <t>OTRAS TRANSFERENCIAS</t>
  </si>
  <si>
    <t>SENTENCIAS Y CONCILIACIONES</t>
  </si>
  <si>
    <t>DESTINATARIOS DE LAS OTRAS TRANSFERENCIAS</t>
  </si>
  <si>
    <t>PROVISION PARA GASTOS INSTITUCIONALES Y/O SECTORIALES CONTINGENTES - PREVIO CONCEPTO DGPPN</t>
  </si>
  <si>
    <t>B</t>
  </si>
  <si>
    <t>SERVICIO DE LA DEUDA INTERNA</t>
  </si>
  <si>
    <t>AMORTIZACIÓN DEUDA PÚBLICA INTERNA</t>
  </si>
  <si>
    <t>NACIÓN</t>
  </si>
  <si>
    <t>C</t>
  </si>
  <si>
    <t>INVERSION</t>
  </si>
  <si>
    <t>MEJORAMIENTO Y MANTENIMIENTO DE INFRAESTRUCTURA PROPIA DEL SECTOR</t>
  </si>
  <si>
    <t>INTERSUBSECTORIAL TRANSPORTE</t>
  </si>
  <si>
    <t>MEJORAMIENTO AUTOPISTA BOGOTA - VILLAVICENCIO</t>
  </si>
  <si>
    <t>TRANSPORTE FÉRREO</t>
  </si>
  <si>
    <t>REHABILITACION DE VIAS FERREAS A NIVEL NACIONAL, A TRAVES DEL SISTEMA DE CONCESIONES</t>
  </si>
  <si>
    <t>ATENCION, CONTROL Y ORGANIZACION INSTITUCIONAL PARA APOYO A LA GESTION DEL ESTADO</t>
  </si>
  <si>
    <t xml:space="preserve">                             TOTAL ACUMULADO (A+B+C):</t>
  </si>
  <si>
    <t>APROPIACIÓN INICIAL</t>
  </si>
  <si>
    <t>ADICIONES</t>
  </si>
  <si>
    <t>RECORTE</t>
  </si>
  <si>
    <t>APLAZAMIENTOS</t>
  </si>
  <si>
    <t xml:space="preserve">CRÉDITOS </t>
  </si>
  <si>
    <t>CONTRACRÉDITOS</t>
  </si>
  <si>
    <t>TOTAL MODIFICACIONES PRESUPUESTALES</t>
  </si>
  <si>
    <t>(1)</t>
  </si>
  <si>
    <t>MODIFICACIONES PRESUPUESTALES (2)</t>
  </si>
  <si>
    <t>(a)</t>
  </si>
  <si>
    <t>(b)</t>
  </si>
  <si>
    <t>(d)</t>
  </si>
  <si>
    <t>(e )</t>
  </si>
  <si>
    <t>( c)</t>
  </si>
  <si>
    <t>(f) = (a)-(b)-( c)+(e )</t>
  </si>
  <si>
    <t>(3) = (1) + (2)</t>
  </si>
  <si>
    <t>EJECUCIÓN - COMPROMISOS ACUMULADOS AL 31 DE DICIEMBRE DE 2011</t>
  </si>
  <si>
    <t>% EJECUCIÓN (COMPROMISOS ACUMULADOS VS. APROPIACIÓN DEFINITIVA</t>
  </si>
  <si>
    <t>APROPIACIÓN DEFINITIVA</t>
  </si>
  <si>
    <t>(4)</t>
  </si>
  <si>
    <t>(5) = (4) / (3)</t>
  </si>
  <si>
    <t>AUXILIO DE TRANSPORTE</t>
  </si>
  <si>
    <t>COMPRA DE EQUIPO</t>
  </si>
  <si>
    <t>AUDIOVISUALES Y ACCESORIOS</t>
  </si>
  <si>
    <t>EQUIPO DE SISTEMAS</t>
  </si>
  <si>
    <t>SOFTWARE</t>
  </si>
  <si>
    <t>ENSERES Y EQUIPO DE OFICINA</t>
  </si>
  <si>
    <t>EQUIPO Y MAQUINAS PARA OFICINA</t>
  </si>
  <si>
    <t>MOBILIARIO Y ENSERES</t>
  </si>
  <si>
    <t>LLANTAS Y ACCESORIOS</t>
  </si>
  <si>
    <t>ELEMENTOS PARA ESTIMULOS</t>
  </si>
  <si>
    <t>SERVICIOS DE CAPACITACION</t>
  </si>
  <si>
    <t>GASTOS FINANCIEROS</t>
  </si>
  <si>
    <t>COMISIONES BANCARIAS</t>
  </si>
  <si>
    <t>MEJORAMIENTO Y APOYO ESTATAL PARA LOS NVOS PROY DE CONCESION</t>
  </si>
  <si>
    <t>MEJOR, APOYO ESTATAL PROY, DE CONC. AUTOP. RUTA DEL SOL RE</t>
  </si>
  <si>
    <t>RED TRONCAL NACIONAL</t>
  </si>
  <si>
    <t>MEJORAMIENTO TRANSVERSAL DE LAS AMERICAS. REGION NAL.SEG</t>
  </si>
  <si>
    <t>EDICION DE LIBROS, REVISTAS, ESCRITOS Y TRABAJOS TIPOGRAFICOS</t>
  </si>
  <si>
    <t>MEJORAMIENTO DEL SISTEMA FERROVIARIO CENTRAL NACIONAL</t>
  </si>
  <si>
    <t xml:space="preserve">APOYO A LA GESTION DEL ESTADO. OBRAS COMPLEMENTARIAS Y COMPRA DE PREDIOS. CONTRATOS DE CONCESION.  </t>
  </si>
  <si>
    <t>APOYO A LA GESTION DEL ESTADO. OBRAS COMPLEMENTARIAS Y COMPRA DE PREDIOS. CONTRATOS DE CONCESION.  -</t>
  </si>
  <si>
    <t>APOYO GESTION DEL ESTADO ASESORIAS Y CONSULTORIAS</t>
  </si>
  <si>
    <t>APOYO DOTACION TECNICO ADMINISTRATIVO PARA EL FORTALECIMIENTO INSTITUCIONAL DEL INCO NACIONAL</t>
  </si>
  <si>
    <t>ARRENDAMIENTOS BIENES MUEBLES</t>
  </si>
  <si>
    <t>OTRAS COMPRA DE EQUIPO</t>
  </si>
  <si>
    <t>N.A.</t>
  </si>
  <si>
    <t>N.A</t>
  </si>
  <si>
    <t>SERVICIO DE ASEO</t>
  </si>
  <si>
    <t>SERVICIO DE SEGURIDAD Y VIGILANCIA</t>
  </si>
  <si>
    <t>TRANSPORTE MARITIMO</t>
  </si>
  <si>
    <t>APOYO ESTATAL A LOS PUEROS NIVEL A NACIONAL</t>
  </si>
  <si>
    <t>ADMINISTRACION,ATENCION,CONTROL Y ORGANIZACION INSTITUCIONAL PARA  LA ADMINISTRACION DEL ESTADO</t>
  </si>
  <si>
    <t>PRIMA TECNICA SALARIAL</t>
  </si>
  <si>
    <t>VEHICULOS</t>
  </si>
  <si>
    <t>MEJORAMIENTO APOYO ESTATAL PARA LOS NUEVOS PROYECTOS DE CONCESION.</t>
  </si>
  <si>
    <t>MEJORAMIENTO APOYO ESTATAL PROYECTO DE CONCESION AUTOPISTA RUTA DEL SOL REGION NACIONAL</t>
  </si>
  <si>
    <t>MEJORAMIENTO , MANTENIMIENTO DE LA CONCESIÓN RUTA CARIBE MUNICIPIO DE BARRANQUILLA DEPARTAMENTO DE ATLANTICO</t>
  </si>
  <si>
    <t>MEJORAMIENTO MANTENIMIENTO CONCESIÓN CORDOBA- SUCRE</t>
  </si>
  <si>
    <t>MEJORAMIENTO  CONCESIÓN  ARMENIA PEREIRA MANIZALES</t>
  </si>
  <si>
    <t>MEJORAMIENTO ,MANTENIMIENTO DE LA CONCESIÓN CARTAGENA, BARRANQUILLA</t>
  </si>
  <si>
    <t>MEJORAMIENTO AUTOPISTAS DE LA MONTAÑA REGION NACIONAL - PREVIO CONCEPTO DNP</t>
  </si>
  <si>
    <t>APOYO Y DOTACION TECNICO Y ADMINISTRATIVO PARA EL FORTALECIMIENTO INSTITUCIONAL DEL INCO NACIONAL</t>
  </si>
  <si>
    <t>APOYO A LA GESTION DEL ESTADO. ASESORIAS Y CONSULTORIAS. CONTRATOS DE CONCESION. - PREVIO CONCEPTO DNP</t>
  </si>
  <si>
    <t>N.A: NO APLICA</t>
  </si>
  <si>
    <t>NA</t>
  </si>
  <si>
    <t>MEJORAMIENTO APOYO ESTATAL PROYECTO DE CONCESION RUTA DEL SOL  SECTOR I NACIONAL</t>
  </si>
  <si>
    <t>MEJORAMIENTO APOYO ESTATAL PROYECTO DE CONCESION RUTA DEL SOL  SECTOR III NACIONAL</t>
  </si>
  <si>
    <t>MEJORAMIENTO APOYO ESTATAL PROYECTO DE CONCESIÓN RUTA DEL SOL  SECTOR 2 NACIONAL</t>
  </si>
  <si>
    <t>MANTENIMIENTO MANTENIMIENTO AL PROYECTO DE CONCESIÓN LOBOGUERRERO-BUGA VALLE DEL CAUCA</t>
  </si>
  <si>
    <t>RED VIAL NACIONAL</t>
  </si>
  <si>
    <t xml:space="preserve">ADQUISICION, PRODUCCION Y MANTENIMIENTO DE LA DOTACION ADMINISTRATIVA </t>
  </si>
  <si>
    <t>NTERSUBSECTORIAL TRANSPORTE</t>
  </si>
  <si>
    <t>FORTALECIMIENTO DE LA GESTIÓN  FUNCIONAL CON TECNOLOGÍAS DE LA INFORMACIÓN Y COMUNICACIONES AGENCIA NACIONAL DE INFRAESTRUCTURA</t>
  </si>
  <si>
    <t>APOYO A LA GESTION DEL ESTADO. ASESORIAS Y CONSULTORIAS. CONTRATOS DE CONCESION.</t>
  </si>
  <si>
    <t>IMPLEMENTACIÓN DEL SISTEMA INTEGRADO DE GESTIÓN Y CONTROL AGENCIA NACIONAL DE INFRAESTRUCTURA</t>
  </si>
  <si>
    <t>TRANSPORTE AEREO</t>
  </si>
  <si>
    <t>APOYO A LA GESTION DEL ESTADO PARA LA SUPERVISION  DE LA INFRAESTRUCTURA AEROPORTUARIA A NIVEL NACIONAL</t>
  </si>
  <si>
    <t>APOYO A LA GESTION DEL ESTADO. OBRAS COMPLEMENTARIAS Y COMPRA DE PREDIOS. CONTRATOS DE CONCESION.  - PREVIO CONCEPTO DNP</t>
  </si>
  <si>
    <t>PRIMA DE RIESGO</t>
  </si>
  <si>
    <t>MEJORAMIENTO OBRAS COMPLEMENTARIAS Y COMPRA DE PREDIOS TRANSVERSAL DE LAS AMERICAS DEPARTAMENTOS DE ANTIOQUIA Y CORDOBA - PREVIO CONCEPTO DNP</t>
  </si>
  <si>
    <t>MEJORAMIENTO Y MANTENIMIENTO DE LA CONCESION BRICEÑO - TUNJA - SOGAMOSO</t>
  </si>
  <si>
    <t>MEJORAMIENTO DEL CORREDOR YE DE CIENAGA - TASAJERA DEPARTAMENTO DE MAGDALENA</t>
  </si>
  <si>
    <t>APOYO PARA EL DESARROLLO Y GESTION INSTITUCIONAL DE LA ANI , NACIONAL</t>
  </si>
  <si>
    <t>APOYO A LA GESTIÓN DEL ESTADO, ASESORIAS Y CONSULTORIAS. CONTRATOS DE CONCESION.-(PAGOS PASIVOS EXIGIBLES VIGENCIA EXPIRADA)</t>
  </si>
  <si>
    <t xml:space="preserve">PAGO PASIVOS EXIGIBLES VIGENCIAS EXPIRADAS </t>
  </si>
  <si>
    <t>MANTENIMIENTO DE BIENES INMUEBLES, EQUIPOS Y ENSERES</t>
  </si>
  <si>
    <t>REHABILITACIÓN Y MANTENIMIENTO DEL CORREDOR ZIPAQUIRA - BUCARAMANGA (PALENQUE) Y TUNJA - VILLAPINZON</t>
  </si>
  <si>
    <t>MEJORAMIENTO AUTOPISTAS DE LA MONTAÑA REGION NACIONAL</t>
  </si>
  <si>
    <t>VIGENCIA 2011</t>
  </si>
  <si>
    <t>VICEPRESIDENCIA ADMINISTRATIVA Y FINANCIERA</t>
  </si>
  <si>
    <t>INFORME EJECUCIÓN DEL PRESUPUESTO DE GASTOS</t>
  </si>
  <si>
    <t>INVERSIÓN</t>
  </si>
  <si>
    <t>CODIFICACIÓN PRESUPUESTAL</t>
  </si>
  <si>
    <t>RECURSO</t>
  </si>
  <si>
    <t>DESCRIPCIÓN</t>
  </si>
  <si>
    <t>VIGENCIA 2012</t>
  </si>
  <si>
    <t>VIGENCIA 2013</t>
  </si>
  <si>
    <t>VIGENCIA 2014</t>
  </si>
  <si>
    <t>VIGENCIA 2015</t>
  </si>
  <si>
    <t>MEJORAMIENTO Y APOYO ESTATAL PARA LOS NUEVOS PROYECTOS DE CONCESION</t>
  </si>
  <si>
    <t>MEJORAMIENTO  MANTENIMIENTO DE LA CONCESIÓN RUTA CARIBE MUNICIPIO DE BARRANQUILLA DEPARTAMENTO DE ATLANTICO</t>
  </si>
  <si>
    <t>ADMINISTRACION, ATENCION, CONTROL Y ORGANIZACION INSTITUCIONAL PARA  LA ADMINISTRACION DEL ESTADO</t>
  </si>
  <si>
    <t>MEJORAMIENTO TRANSVERSAL DE LAS AMERICAS. REGION NAL. SECTOR 1</t>
  </si>
  <si>
    <t>VIGENCIA 2017</t>
  </si>
  <si>
    <t>VIGENCIA 2016</t>
  </si>
  <si>
    <t>% EJECUCIÓN (COMPROMISOS ACUMULADOS VS APROPIACIÓN DEFINITIVA</t>
  </si>
  <si>
    <t>PRIMA TÉCNICA SALARIAL</t>
  </si>
  <si>
    <t>OTROS GASTOS PERSONALES - PREVIO CONCEPTO DGPPN</t>
  </si>
  <si>
    <t>OTROS IMPUESTOS</t>
  </si>
  <si>
    <t>OTRAS COMPRAS DE EQUIPOS</t>
  </si>
  <si>
    <t>MEDICAMENTOS Y PRODUCTOS FARMACÉUTICOS</t>
  </si>
  <si>
    <t>MANTENIMIENTO EQUIPO DE COMUNICACIONES Y COMPUTACIÒN</t>
  </si>
  <si>
    <t>COMUNICACIONES Y TRANSPORTES</t>
  </si>
  <si>
    <t>ELEMENTOS PARA ESTÍMULOS</t>
  </si>
  <si>
    <t>CONCILIACIONES</t>
  </si>
  <si>
    <t>SENTENCIAS</t>
  </si>
  <si>
    <t>LAUDOS ARBITRALES</t>
  </si>
  <si>
    <t>INFRAESTRUCTURA RED VIAL PRIMARIA</t>
  </si>
  <si>
    <t>APOYO A LA GESTION DEL ESTADO. OBRAS COMPLEMENTARIAS Y COMPRA DE PREDIOS. CONTRATOS DE CONCESION.</t>
  </si>
  <si>
    <t>MEJORAMIENTO REHABILITACION Y MANTENIMIENTO DEL CORREDOR HONDA - PUERTO SALGAR - GIRARDOT , CUNDINAMARCA, CENTRO ORIENTE</t>
  </si>
  <si>
    <t>REHABILITACIÓN MEJORAMIENTO, OPERACIÓN Y MANTENIMIENTO DEO CORREDOR PERIMETRAL DE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</si>
  <si>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</si>
  <si>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</si>
  <si>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</si>
  <si>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</si>
  <si>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MEJORAMIENTO APOYO ESTATAL PROYECTO DE CONCESION RUTA DEL SOL  SECTOR I NACIONAL - PREVIO CONCEPTO DNP</t>
  </si>
  <si>
    <t>INFRAESTRUCTURA DE TRANSPORTE FÉRREO</t>
  </si>
  <si>
    <t>INFRAESTRUCTURA DE TRANSPORTE MARÍTIMO</t>
  </si>
  <si>
    <t>APOYO ESTATAL A LOS PUERTOS A NIVEL NACIONAL</t>
  </si>
  <si>
    <t>FORTALECIMIENTO DE LA GESTIÓN Y DIRECCIÓN DEL SECTOR TRANSPORTE</t>
  </si>
  <si>
    <t>APOYO PARA EL DESARROLLO Y GESTIÓN INSTITUCIONAL DE LA ANI , NACIONAL</t>
  </si>
  <si>
    <t>EJECUCIÓN - COMPROMISOS ACUMULADOS AL 31 DE DICIEMBRE DE 2017</t>
  </si>
  <si>
    <t>REHABILITACIÓN Y MANTENIMIENTO DEL CORREDOR  ZIPAQUIRA - BUCARAMANGA (PALENQUE)</t>
  </si>
  <si>
    <t>REHABILITACION MEJORAMIENTO,CONSTRUCCION,MANTENIMIENTO Y OPERACION DEL CORREDOR CARTAGENA-BARRANQUILLA Y CIRCUNVALAR DE LA PROSPERIDAD DEPARTAMENTOS DE ATLANTICO Y BOLIVAR</t>
  </si>
  <si>
    <t>CONSTRUCCION OPERACION Y MANTENIMIENTO DE LA VIA MULALO - LOBOGUERRO, DEPARTAMENTO DEL VALLE DEL CAUCA</t>
  </si>
  <si>
    <t>ADMINISTRACION, ATENCION, CONTROL Y ORGANIZACION INSTITUCIONAL PARA LA ADMINISTRACION DEL ESTADO</t>
  </si>
  <si>
    <t>APOYO PARA EL DESARROLLO Y GESTION INSTITUCIONAL DE LA ANI, NACIONAL</t>
  </si>
  <si>
    <t>APORTE A LA ESAP</t>
  </si>
  <si>
    <t>APORTES  A ESCUELA INDUSTRIAL</t>
  </si>
  <si>
    <t>COMUNICACIÓN Y TRANSPORTE</t>
  </si>
  <si>
    <t>SERVICIO PUBLICO</t>
  </si>
  <si>
    <t>DEFENSA DE HACIENDA PUBLICA</t>
  </si>
  <si>
    <t>OTROS GASTOS POR ADQUISICION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</si>
</sst>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* #,##0.00_);_(* \(#,##0.00\);_(* &quot;-&quot;??_);_(@_)"/>
    <numFmt numFmtId="165" formatCode="0.0%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8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2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4" fontId="2" fillId="0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9" fontId="2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164" fontId="2" fillId="2" borderId="0" xfId="1" applyFont="1" applyFill="1" applyBorder="1" applyAlignment="1">
      <alignment vertical="center"/>
    </xf>
    <xf numFmtId="49" fontId="3" fillId="3" borderId="9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164" fontId="3" fillId="2" borderId="0" xfId="1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164" fontId="11" fillId="0" borderId="0" xfId="1" applyFont="1" applyFill="1" applyBorder="1" applyAlignment="1">
      <alignment vertical="center"/>
    </xf>
    <xf numFmtId="164" fontId="12" fillId="0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164" fontId="11" fillId="2" borderId="0" xfId="1" applyFont="1" applyFill="1" applyBorder="1" applyAlignment="1">
      <alignment vertical="center"/>
    </xf>
    <xf numFmtId="164" fontId="12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5" fillId="0" borderId="0" xfId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5" xfId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39" fontId="4" fillId="0" borderId="5" xfId="1" applyNumberFormat="1" applyFont="1" applyFill="1" applyBorder="1" applyAlignment="1">
      <alignment horizontal="right" vertical="center"/>
    </xf>
    <xf numFmtId="165" fontId="4" fillId="0" borderId="12" xfId="2" applyNumberFormat="1" applyFont="1" applyFill="1" applyBorder="1" applyAlignment="1">
      <alignment horizontal="right" vertical="center"/>
    </xf>
    <xf numFmtId="39" fontId="3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right" vertical="center" wrapText="1"/>
    </xf>
    <xf numFmtId="165" fontId="6" fillId="0" borderId="6" xfId="2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39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9" fontId="4" fillId="0" borderId="0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horizontal="right" vertical="center" wrapText="1"/>
    </xf>
    <xf numFmtId="39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right" vertical="center" wrapText="1"/>
    </xf>
    <xf numFmtId="4" fontId="18" fillId="0" borderId="6" xfId="0" applyNumberFormat="1" applyFont="1" applyFill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horizontal="right" vertical="center" wrapText="1"/>
    </xf>
    <xf numFmtId="4" fontId="19" fillId="0" borderId="5" xfId="0" applyNumberFormat="1" applyFont="1" applyFill="1" applyBorder="1" applyAlignment="1">
      <alignment horizontal="right" vertical="center" wrapText="1"/>
    </xf>
    <xf numFmtId="164" fontId="3" fillId="3" borderId="10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164" fontId="3" fillId="3" borderId="10" xfId="1" applyFont="1" applyFill="1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39" fontId="4" fillId="2" borderId="5" xfId="1" applyNumberFormat="1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right" vertical="center" wrapText="1"/>
    </xf>
    <xf numFmtId="165" fontId="4" fillId="2" borderId="12" xfId="2" applyNumberFormat="1" applyFont="1" applyFill="1" applyBorder="1" applyAlignment="1">
      <alignment horizontal="right" vertical="center"/>
    </xf>
    <xf numFmtId="165" fontId="6" fillId="0" borderId="8" xfId="2" applyNumberFormat="1" applyFont="1" applyFill="1" applyBorder="1" applyAlignment="1">
      <alignment horizontal="right" vertical="center" wrapText="1"/>
    </xf>
    <xf numFmtId="165" fontId="9" fillId="0" borderId="12" xfId="2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left" vertical="center"/>
    </xf>
    <xf numFmtId="165" fontId="18" fillId="0" borderId="17" xfId="2" applyNumberFormat="1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left" vertical="center"/>
    </xf>
    <xf numFmtId="165" fontId="18" fillId="0" borderId="19" xfId="2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left" vertical="center"/>
    </xf>
    <xf numFmtId="165" fontId="18" fillId="0" borderId="21" xfId="2" applyNumberFormat="1" applyFont="1" applyFill="1" applyBorder="1" applyAlignment="1">
      <alignment horizontal="right" vertical="center" wrapText="1"/>
    </xf>
    <xf numFmtId="165" fontId="19" fillId="0" borderId="12" xfId="2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left" vertical="center"/>
    </xf>
    <xf numFmtId="4" fontId="9" fillId="3" borderId="5" xfId="0" applyNumberFormat="1" applyFont="1" applyFill="1" applyBorder="1" applyAlignment="1">
      <alignment horizontal="right" vertical="center" wrapText="1"/>
    </xf>
    <xf numFmtId="165" fontId="9" fillId="3" borderId="12" xfId="2" applyNumberFormat="1" applyFont="1" applyFill="1" applyBorder="1" applyAlignment="1">
      <alignment horizontal="right" vertical="center" wrapText="1"/>
    </xf>
    <xf numFmtId="164" fontId="11" fillId="4" borderId="0" xfId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165" fontId="6" fillId="2" borderId="6" xfId="2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/>
    </xf>
    <xf numFmtId="39" fontId="11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39" fontId="14" fillId="2" borderId="0" xfId="0" applyNumberFormat="1" applyFont="1" applyFill="1" applyBorder="1" applyAlignment="1">
      <alignment vertical="center"/>
    </xf>
    <xf numFmtId="4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165" fontId="9" fillId="2" borderId="6" xfId="2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165" fontId="6" fillId="2" borderId="7" xfId="2" applyNumberFormat="1" applyFont="1" applyFill="1" applyBorder="1" applyAlignment="1">
      <alignment horizontal="right" vertical="center" wrapText="1"/>
    </xf>
    <xf numFmtId="4" fontId="13" fillId="2" borderId="22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/>
    </xf>
    <xf numFmtId="165" fontId="6" fillId="2" borderId="17" xfId="2" applyNumberFormat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left" vertical="center"/>
    </xf>
    <xf numFmtId="165" fontId="6" fillId="2" borderId="19" xfId="2" applyNumberFormat="1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4" fontId="6" fillId="2" borderId="8" xfId="0" applyNumberFormat="1" applyFont="1" applyFill="1" applyBorder="1" applyAlignment="1">
      <alignment horizontal="right" vertical="center" wrapText="1"/>
    </xf>
    <xf numFmtId="165" fontId="6" fillId="2" borderId="21" xfId="2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165" fontId="9" fillId="2" borderId="12" xfId="2" applyNumberFormat="1" applyFont="1" applyFill="1" applyBorder="1" applyAlignment="1">
      <alignment horizontal="right" vertical="center" wrapText="1"/>
    </xf>
    <xf numFmtId="39" fontId="2" fillId="2" borderId="0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39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9" fontId="3" fillId="2" borderId="0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165" fontId="6" fillId="2" borderId="8" xfId="2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4" fontId="6" fillId="2" borderId="22" xfId="0" applyNumberFormat="1" applyFont="1" applyFill="1" applyBorder="1" applyAlignment="1">
      <alignment horizontal="right" vertical="center" wrapText="1"/>
    </xf>
    <xf numFmtId="39" fontId="5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4" fontId="0" fillId="0" borderId="0" xfId="0" applyNumberFormat="1"/>
    <xf numFmtId="164" fontId="3" fillId="3" borderId="10" xfId="1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left"/>
    </xf>
    <xf numFmtId="0" fontId="4" fillId="2" borderId="5" xfId="5" applyFont="1" applyFill="1" applyBorder="1" applyAlignment="1">
      <alignment horizontal="center"/>
    </xf>
    <xf numFmtId="0" fontId="4" fillId="2" borderId="5" xfId="5" applyFont="1" applyFill="1" applyBorder="1" applyAlignment="1">
      <alignment horizontal="left" wrapText="1"/>
    </xf>
    <xf numFmtId="0" fontId="5" fillId="2" borderId="7" xfId="5" applyFont="1" applyFill="1" applyBorder="1"/>
    <xf numFmtId="0" fontId="5" fillId="2" borderId="7" xfId="5" applyFont="1" applyFill="1" applyBorder="1" applyAlignment="1">
      <alignment wrapText="1"/>
    </xf>
    <xf numFmtId="0" fontId="5" fillId="2" borderId="6" xfId="5" applyFont="1" applyFill="1" applyBorder="1"/>
    <xf numFmtId="0" fontId="5" fillId="2" borderId="6" xfId="5" applyFont="1" applyFill="1" applyBorder="1" applyAlignment="1">
      <alignment wrapText="1"/>
    </xf>
    <xf numFmtId="0" fontId="5" fillId="2" borderId="8" xfId="5" applyFont="1" applyFill="1" applyBorder="1"/>
    <xf numFmtId="0" fontId="5" fillId="2" borderId="8" xfId="5" applyFont="1" applyFill="1" applyBorder="1" applyAlignment="1">
      <alignment wrapText="1"/>
    </xf>
    <xf numFmtId="0" fontId="7" fillId="2" borderId="6" xfId="5" applyFont="1" applyFill="1" applyBorder="1"/>
    <xf numFmtId="0" fontId="7" fillId="2" borderId="6" xfId="5" applyFont="1" applyFill="1" applyBorder="1" applyAlignment="1">
      <alignment wrapText="1"/>
    </xf>
    <xf numFmtId="39" fontId="4" fillId="2" borderId="5" xfId="6" applyNumberFormat="1" applyFont="1" applyFill="1" applyBorder="1" applyAlignment="1">
      <alignment horizontal="right"/>
    </xf>
    <xf numFmtId="4" fontId="6" fillId="2" borderId="7" xfId="5" applyNumberFormat="1" applyFont="1" applyFill="1" applyBorder="1" applyAlignment="1">
      <alignment horizontal="right" vertical="center" wrapText="1" readingOrder="1"/>
    </xf>
    <xf numFmtId="4" fontId="6" fillId="2" borderId="6" xfId="5" applyNumberFormat="1" applyFont="1" applyFill="1" applyBorder="1" applyAlignment="1">
      <alignment horizontal="right" vertical="center" wrapText="1" readingOrder="1"/>
    </xf>
    <xf numFmtId="4" fontId="10" fillId="2" borderId="6" xfId="5" applyNumberFormat="1" applyFont="1" applyFill="1" applyBorder="1" applyAlignment="1">
      <alignment horizontal="right" vertical="center" wrapText="1" readingOrder="1"/>
    </xf>
    <xf numFmtId="39" fontId="5" fillId="2" borderId="6" xfId="6" applyNumberFormat="1" applyFont="1" applyFill="1" applyBorder="1" applyAlignment="1">
      <alignment horizontal="right"/>
    </xf>
    <xf numFmtId="4" fontId="18" fillId="2" borderId="6" xfId="5" applyNumberFormat="1" applyFont="1" applyFill="1" applyBorder="1" applyAlignment="1">
      <alignment horizontal="right" vertical="center" wrapText="1" readingOrder="1"/>
    </xf>
    <xf numFmtId="4" fontId="6" fillId="2" borderId="8" xfId="5" applyNumberFormat="1" applyFont="1" applyFill="1" applyBorder="1" applyAlignment="1">
      <alignment horizontal="right" vertical="center" wrapText="1" readingOrder="1"/>
    </xf>
    <xf numFmtId="39" fontId="4" fillId="2" borderId="4" xfId="6" applyNumberFormat="1" applyFont="1" applyFill="1" applyBorder="1" applyAlignment="1">
      <alignment horizontal="right"/>
    </xf>
    <xf numFmtId="0" fontId="0" fillId="2" borderId="25" xfId="0" applyFill="1" applyBorder="1"/>
    <xf numFmtId="0" fontId="5" fillId="2" borderId="6" xfId="5" applyFont="1" applyFill="1" applyBorder="1" applyAlignment="1">
      <alignment horizontal="left"/>
    </xf>
    <xf numFmtId="0" fontId="0" fillId="2" borderId="6" xfId="0" applyFill="1" applyBorder="1"/>
    <xf numFmtId="165" fontId="4" fillId="2" borderId="6" xfId="2" applyNumberFormat="1" applyFont="1" applyFill="1" applyBorder="1" applyAlignment="1">
      <alignment horizontal="right" vertical="center"/>
    </xf>
    <xf numFmtId="0" fontId="7" fillId="2" borderId="6" xfId="5" applyFont="1" applyFill="1" applyBorder="1" applyAlignment="1">
      <alignment horizontal="justify" vertical="center"/>
    </xf>
    <xf numFmtId="0" fontId="4" fillId="2" borderId="6" xfId="5" applyFont="1" applyFill="1" applyBorder="1" applyAlignment="1">
      <alignment horizontal="left"/>
    </xf>
    <xf numFmtId="0" fontId="4" fillId="2" borderId="6" xfId="5" applyFont="1" applyFill="1" applyBorder="1"/>
    <xf numFmtId="0" fontId="4" fillId="2" borderId="6" xfId="5" applyFont="1" applyFill="1" applyBorder="1" applyAlignment="1">
      <alignment wrapText="1"/>
    </xf>
    <xf numFmtId="39" fontId="4" fillId="2" borderId="6" xfId="6" applyNumberFormat="1" applyFont="1" applyFill="1" applyBorder="1" applyAlignment="1">
      <alignment horizontal="right"/>
    </xf>
    <xf numFmtId="0" fontId="7" fillId="2" borderId="6" xfId="5" applyFont="1" applyFill="1" applyBorder="1" applyAlignment="1">
      <alignment horizontal="left"/>
    </xf>
    <xf numFmtId="0" fontId="5" fillId="2" borderId="7" xfId="5" applyFont="1" applyFill="1" applyBorder="1" applyAlignment="1">
      <alignment horizontal="left"/>
    </xf>
    <xf numFmtId="0" fontId="0" fillId="2" borderId="7" xfId="0" applyFill="1" applyBorder="1"/>
    <xf numFmtId="165" fontId="4" fillId="2" borderId="7" xfId="2" applyNumberFormat="1" applyFont="1" applyFill="1" applyBorder="1" applyAlignment="1">
      <alignment horizontal="right" vertical="center"/>
    </xf>
    <xf numFmtId="0" fontId="5" fillId="2" borderId="8" xfId="5" applyFont="1" applyFill="1" applyBorder="1" applyAlignment="1">
      <alignment horizontal="left"/>
    </xf>
    <xf numFmtId="0" fontId="0" fillId="2" borderId="8" xfId="0" applyFill="1" applyBorder="1"/>
    <xf numFmtId="165" fontId="4" fillId="2" borderId="8" xfId="2" applyNumberFormat="1" applyFont="1" applyFill="1" applyBorder="1" applyAlignment="1">
      <alignment horizontal="right" vertical="center"/>
    </xf>
    <xf numFmtId="166" fontId="0" fillId="0" borderId="0" xfId="0" applyNumberFormat="1"/>
    <xf numFmtId="0" fontId="4" fillId="2" borderId="2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39" fontId="4" fillId="2" borderId="5" xfId="1" applyNumberFormat="1" applyFont="1" applyFill="1" applyBorder="1" applyAlignment="1">
      <alignment horizontal="right"/>
    </xf>
    <xf numFmtId="0" fontId="5" fillId="2" borderId="29" xfId="0" applyFont="1" applyFill="1" applyBorder="1" applyAlignment="1">
      <alignment horizontal="left"/>
    </xf>
    <xf numFmtId="0" fontId="5" fillId="2" borderId="16" xfId="0" applyFont="1" applyFill="1" applyBorder="1"/>
    <xf numFmtId="0" fontId="5" fillId="2" borderId="7" xfId="0" applyFont="1" applyFill="1" applyBorder="1" applyAlignment="1">
      <alignment wrapText="1"/>
    </xf>
    <xf numFmtId="4" fontId="6" fillId="2" borderId="7" xfId="0" applyNumberFormat="1" applyFont="1" applyFill="1" applyBorder="1" applyAlignment="1">
      <alignment horizontal="right" vertical="center" wrapText="1" readingOrder="1"/>
    </xf>
    <xf numFmtId="0" fontId="5" fillId="2" borderId="30" xfId="0" applyFont="1" applyFill="1" applyBorder="1" applyAlignment="1">
      <alignment horizontal="left"/>
    </xf>
    <xf numFmtId="0" fontId="5" fillId="2" borderId="18" xfId="0" applyFont="1" applyFill="1" applyBorder="1"/>
    <xf numFmtId="0" fontId="5" fillId="2" borderId="6" xfId="0" applyFont="1" applyFill="1" applyBorder="1" applyAlignment="1">
      <alignment wrapText="1"/>
    </xf>
    <xf numFmtId="4" fontId="6" fillId="2" borderId="6" xfId="0" applyNumberFormat="1" applyFont="1" applyFill="1" applyBorder="1" applyAlignment="1">
      <alignment horizontal="right" vertical="center" wrapText="1" readingOrder="1"/>
    </xf>
    <xf numFmtId="4" fontId="10" fillId="2" borderId="6" xfId="0" applyNumberFormat="1" applyFont="1" applyFill="1" applyBorder="1" applyAlignment="1">
      <alignment horizontal="right" vertical="center" wrapText="1" readingOrder="1"/>
    </xf>
    <xf numFmtId="4" fontId="18" fillId="2" borderId="6" xfId="0" applyNumberFormat="1" applyFont="1" applyFill="1" applyBorder="1" applyAlignment="1">
      <alignment horizontal="right" vertical="center" wrapText="1" readingOrder="1"/>
    </xf>
    <xf numFmtId="0" fontId="5" fillId="2" borderId="31" xfId="0" applyFont="1" applyFill="1" applyBorder="1" applyAlignment="1">
      <alignment horizontal="left"/>
    </xf>
    <xf numFmtId="0" fontId="5" fillId="2" borderId="23" xfId="0" applyFont="1" applyFill="1" applyBorder="1"/>
    <xf numFmtId="0" fontId="5" fillId="2" borderId="24" xfId="0" applyFont="1" applyFill="1" applyBorder="1" applyAlignment="1">
      <alignment wrapText="1"/>
    </xf>
    <xf numFmtId="4" fontId="6" fillId="2" borderId="24" xfId="0" applyNumberFormat="1" applyFont="1" applyFill="1" applyBorder="1" applyAlignment="1">
      <alignment horizontal="right" vertical="center" wrapText="1" readingOrder="1"/>
    </xf>
    <xf numFmtId="0" fontId="5" fillId="2" borderId="16" xfId="0" applyFont="1" applyFill="1" applyBorder="1" applyAlignment="1">
      <alignment horizontal="left"/>
    </xf>
    <xf numFmtId="0" fontId="5" fillId="2" borderId="7" xfId="0" applyFont="1" applyFill="1" applyBorder="1"/>
    <xf numFmtId="0" fontId="5" fillId="2" borderId="18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/>
    <xf numFmtId="39" fontId="5" fillId="2" borderId="7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left"/>
    </xf>
    <xf numFmtId="0" fontId="5" fillId="2" borderId="8" xfId="0" applyFont="1" applyFill="1" applyBorder="1"/>
    <xf numFmtId="0" fontId="5" fillId="2" borderId="8" xfId="0" applyFont="1" applyFill="1" applyBorder="1" applyAlignment="1">
      <alignment wrapText="1"/>
    </xf>
    <xf numFmtId="39" fontId="5" fillId="2" borderId="8" xfId="1" applyNumberFormat="1" applyFont="1" applyFill="1" applyBorder="1" applyAlignment="1">
      <alignment horizontal="right"/>
    </xf>
    <xf numFmtId="39" fontId="5" fillId="2" borderId="6" xfId="1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39" fontId="5" fillId="2" borderId="24" xfId="1" applyNumberFormat="1" applyFont="1" applyFill="1" applyBorder="1" applyAlignment="1">
      <alignment horizontal="right"/>
    </xf>
    <xf numFmtId="39" fontId="4" fillId="2" borderId="4" xfId="1" applyNumberFormat="1" applyFont="1" applyFill="1" applyBorder="1" applyAlignment="1">
      <alignment horizontal="right"/>
    </xf>
    <xf numFmtId="4" fontId="6" fillId="2" borderId="8" xfId="0" applyNumberFormat="1" applyFont="1" applyFill="1" applyBorder="1" applyAlignment="1">
      <alignment horizontal="right" vertical="center" wrapText="1" readingOrder="1"/>
    </xf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/>
    <xf numFmtId="0" fontId="5" fillId="2" borderId="27" xfId="0" applyFont="1" applyFill="1" applyBorder="1" applyAlignment="1">
      <alignment wrapText="1"/>
    </xf>
    <xf numFmtId="4" fontId="6" fillId="2" borderId="27" xfId="0" applyNumberFormat="1" applyFont="1" applyFill="1" applyBorder="1" applyAlignment="1">
      <alignment horizontal="right" vertical="center" wrapText="1" readingOrder="1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4" fontId="6" fillId="2" borderId="5" xfId="0" applyNumberFormat="1" applyFont="1" applyFill="1" applyBorder="1" applyAlignment="1">
      <alignment horizontal="right" vertical="center" wrapText="1" readingOrder="1"/>
    </xf>
    <xf numFmtId="0" fontId="0" fillId="0" borderId="25" xfId="0" applyBorder="1"/>
    <xf numFmtId="4" fontId="6" fillId="2" borderId="12" xfId="0" applyNumberFormat="1" applyFont="1" applyFill="1" applyBorder="1" applyAlignment="1">
      <alignment horizontal="right" vertical="center" wrapText="1" readingOrder="1"/>
    </xf>
    <xf numFmtId="9" fontId="6" fillId="2" borderId="19" xfId="2" applyNumberFormat="1" applyFont="1" applyFill="1" applyBorder="1" applyAlignment="1">
      <alignment horizontal="right" vertical="center" wrapText="1"/>
    </xf>
    <xf numFmtId="0" fontId="4" fillId="2" borderId="4" xfId="7" applyFont="1" applyFill="1" applyBorder="1" applyAlignment="1">
      <alignment horizontal="left" vertical="center"/>
    </xf>
    <xf numFmtId="0" fontId="4" fillId="2" borderId="5" xfId="7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left" wrapText="1"/>
    </xf>
    <xf numFmtId="39" fontId="4" fillId="2" borderId="5" xfId="9" applyNumberFormat="1" applyFont="1" applyFill="1" applyBorder="1" applyAlignment="1">
      <alignment horizontal="right"/>
    </xf>
    <xf numFmtId="0" fontId="5" fillId="0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18" fillId="0" borderId="33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3" fillId="3" borderId="10" xfId="1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4" xfId="5" applyFont="1" applyFill="1" applyBorder="1" applyAlignment="1">
      <alignment horizontal="left"/>
    </xf>
    <xf numFmtId="0" fontId="4" fillId="2" borderId="5" xfId="5" applyFont="1" applyFill="1" applyBorder="1" applyAlignment="1">
      <alignment horizontal="left"/>
    </xf>
    <xf numFmtId="0" fontId="4" fillId="2" borderId="12" xfId="5" applyFont="1" applyFill="1" applyBorder="1" applyAlignment="1">
      <alignment horizontal="left"/>
    </xf>
  </cellXfs>
  <cellStyles count="10">
    <cellStyle name="Millares" xfId="1" builtinId="3"/>
    <cellStyle name="Millares 11" xfId="6" xr:uid="{B961BEC2-03A6-4DD6-9EE9-45A4565187B7}"/>
    <cellStyle name="Millares 16" xfId="9" xr:uid="{A40CC594-B4F9-4CFA-BBBE-8B0221E16087}"/>
    <cellStyle name="Moneda [0] 2" xfId="4" xr:uid="{00000000-0005-0000-0000-000030000000}"/>
    <cellStyle name="Normal" xfId="0" builtinId="0"/>
    <cellStyle name="Normal 11" xfId="5" xr:uid="{3474DCAD-077D-4F9A-8E03-E4C3EB17DA4C}"/>
    <cellStyle name="Normal 14 3" xfId="7" xr:uid="{79CF2CC8-A937-4827-8D30-8F4C540930F6}"/>
    <cellStyle name="Normal 16" xfId="8" xr:uid="{39CD92C1-CF8B-42A2-BD71-16F1EA8ECDC6}"/>
    <cellStyle name="Normal 2" xfId="3" xr:uid="{00000000-0005-0000-0000-00002F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104774</xdr:rowOff>
    </xdr:from>
    <xdr:to>
      <xdr:col>1</xdr:col>
      <xdr:colOff>219075</xdr:colOff>
      <xdr:row>8</xdr:row>
      <xdr:rowOff>179545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7C9CD6A-F693-41E6-88A3-E410439C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04799"/>
          <a:ext cx="1314450" cy="1408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76200</xdr:rowOff>
    </xdr:from>
    <xdr:to>
      <xdr:col>1</xdr:col>
      <xdr:colOff>180975</xdr:colOff>
      <xdr:row>5</xdr:row>
      <xdr:rowOff>238125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76225"/>
          <a:ext cx="11430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537235</xdr:colOff>
      <xdr:row>6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6700"/>
          <a:ext cx="149926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92177</xdr:colOff>
      <xdr:row>1</xdr:row>
      <xdr:rowOff>81220</xdr:rowOff>
    </xdr:from>
    <xdr:to>
      <xdr:col>1</xdr:col>
      <xdr:colOff>460886</xdr:colOff>
      <xdr:row>5</xdr:row>
      <xdr:rowOff>163871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77" y="286059"/>
          <a:ext cx="1362177" cy="106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97194</xdr:colOff>
      <xdr:row>1</xdr:row>
      <xdr:rowOff>67842</xdr:rowOff>
    </xdr:from>
    <xdr:to>
      <xdr:col>1</xdr:col>
      <xdr:colOff>261487</xdr:colOff>
      <xdr:row>6</xdr:row>
      <xdr:rowOff>165230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94" y="271949"/>
          <a:ext cx="1145951" cy="1312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104774</xdr:rowOff>
    </xdr:from>
    <xdr:to>
      <xdr:col>1</xdr:col>
      <xdr:colOff>447675</xdr:colOff>
      <xdr:row>6</xdr:row>
      <xdr:rowOff>65245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04799"/>
          <a:ext cx="1314450" cy="1198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150743</xdr:rowOff>
    </xdr:from>
    <xdr:to>
      <xdr:col>1</xdr:col>
      <xdr:colOff>361950</xdr:colOff>
      <xdr:row>6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C8EBE0D-0488-4DA6-A77F-F34A290B4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68"/>
          <a:ext cx="1123950" cy="100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1944</xdr:colOff>
      <xdr:row>1</xdr:row>
      <xdr:rowOff>67842</xdr:rowOff>
    </xdr:from>
    <xdr:to>
      <xdr:col>1</xdr:col>
      <xdr:colOff>385312</xdr:colOff>
      <xdr:row>6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CE1ECC4-4BCD-4994-BC8A-F3915455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" y="267867"/>
          <a:ext cx="1145368" cy="1198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orozco\Desktop\asorozco%20(DatosincoincoSAFContabilidad)\Info%20Aura\Mis%20Documentos\PRESUPUESTO\EJECUCIONES%20PRESUPUESTO\EJECUCIONES%202015\enero%202015\excell\Gastos%20a%20ene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Julio"/>
      <sheetName val="Agosto"/>
      <sheetName val="Septiembre"/>
      <sheetName val="Octubre"/>
      <sheetName val="diciembre"/>
    </sheetNames>
    <sheetDataSet>
      <sheetData sheetId="0" refreshError="1">
        <row r="10">
          <cell r="D10">
            <v>70466770939</v>
          </cell>
        </row>
      </sheetData>
      <sheetData sheetId="1" refreshError="1"/>
      <sheetData sheetId="2" refreshError="1"/>
      <sheetData sheetId="3" refreshError="1">
        <row r="11">
          <cell r="D11">
            <v>45046970939</v>
          </cell>
        </row>
        <row r="12">
          <cell r="D12">
            <v>45046970939</v>
          </cell>
        </row>
        <row r="13">
          <cell r="D13">
            <v>27879353000</v>
          </cell>
        </row>
        <row r="14">
          <cell r="D14">
            <v>19382974000</v>
          </cell>
        </row>
        <row r="15">
          <cell r="D15">
            <v>17406722187</v>
          </cell>
        </row>
        <row r="16">
          <cell r="D16">
            <v>1240030241</v>
          </cell>
        </row>
        <row r="17">
          <cell r="D17">
            <v>736221572</v>
          </cell>
        </row>
        <row r="18">
          <cell r="D18">
            <v>3936144000</v>
          </cell>
        </row>
        <row r="20">
          <cell r="D20">
            <v>3571868656</v>
          </cell>
        </row>
        <row r="21">
          <cell r="D21">
            <v>4098633000</v>
          </cell>
        </row>
        <row r="22">
          <cell r="D22">
            <v>566510210</v>
          </cell>
        </row>
        <row r="23">
          <cell r="D23">
            <v>98983319</v>
          </cell>
        </row>
        <row r="24">
          <cell r="D24">
            <v>1869600</v>
          </cell>
        </row>
        <row r="25">
          <cell r="D25">
            <v>849206451</v>
          </cell>
        </row>
        <row r="26">
          <cell r="D26">
            <v>714105557</v>
          </cell>
        </row>
        <row r="27">
          <cell r="D27">
            <v>1808617483</v>
          </cell>
        </row>
        <row r="29">
          <cell r="D29">
            <v>56668380</v>
          </cell>
        </row>
        <row r="31">
          <cell r="D31">
            <v>461602000</v>
          </cell>
        </row>
        <row r="32">
          <cell r="D32">
            <v>110942000</v>
          </cell>
        </row>
        <row r="33">
          <cell r="D33">
            <v>350660000</v>
          </cell>
        </row>
        <row r="34">
          <cell r="D34">
            <v>9037925939</v>
          </cell>
        </row>
        <row r="35">
          <cell r="D35">
            <v>445669431</v>
          </cell>
        </row>
        <row r="36">
          <cell r="D36">
            <v>8592256508</v>
          </cell>
        </row>
        <row r="38">
          <cell r="D38">
            <v>4167882026</v>
          </cell>
        </row>
        <row r="39">
          <cell r="D39">
            <v>888145439</v>
          </cell>
        </row>
        <row r="40">
          <cell r="D40">
            <v>1714651225</v>
          </cell>
        </row>
        <row r="41">
          <cell r="D41">
            <v>1565085362</v>
          </cell>
        </row>
        <row r="42">
          <cell r="D42">
            <v>2878115597</v>
          </cell>
        </row>
        <row r="43">
          <cell r="D43">
            <v>2004076531</v>
          </cell>
        </row>
        <row r="44">
          <cell r="D44">
            <v>767193406</v>
          </cell>
        </row>
        <row r="45">
          <cell r="D45">
            <v>106845660</v>
          </cell>
        </row>
        <row r="46">
          <cell r="D46">
            <v>639621675</v>
          </cell>
        </row>
        <row r="47">
          <cell r="D47">
            <v>444072702</v>
          </cell>
        </row>
        <row r="57">
          <cell r="D57">
            <v>9437000000</v>
          </cell>
        </row>
        <row r="58">
          <cell r="D58">
            <v>9437000000</v>
          </cell>
        </row>
        <row r="59">
          <cell r="D59">
            <v>17900000</v>
          </cell>
        </row>
        <row r="60">
          <cell r="D60">
            <v>17900000</v>
          </cell>
        </row>
        <row r="61">
          <cell r="D61">
            <v>1000000</v>
          </cell>
        </row>
        <row r="62">
          <cell r="D62">
            <v>16900000</v>
          </cell>
        </row>
        <row r="63">
          <cell r="D63">
            <v>9419100000</v>
          </cell>
        </row>
        <row r="73">
          <cell r="D73">
            <v>225391787</v>
          </cell>
        </row>
        <row r="74">
          <cell r="D74">
            <v>90417844</v>
          </cell>
        </row>
        <row r="75">
          <cell r="D75">
            <v>10965891</v>
          </cell>
        </row>
        <row r="77">
          <cell r="D77">
            <v>2637882</v>
          </cell>
        </row>
        <row r="78">
          <cell r="D78">
            <v>1622407</v>
          </cell>
        </row>
        <row r="79">
          <cell r="D79">
            <v>60145322</v>
          </cell>
        </row>
        <row r="80">
          <cell r="D80">
            <v>1580149</v>
          </cell>
        </row>
        <row r="81">
          <cell r="D81">
            <v>7661058</v>
          </cell>
        </row>
        <row r="82">
          <cell r="D82">
            <v>28730360</v>
          </cell>
        </row>
        <row r="83">
          <cell r="D83">
            <v>6531881</v>
          </cell>
        </row>
        <row r="84">
          <cell r="D84">
            <v>5026829</v>
          </cell>
        </row>
        <row r="85">
          <cell r="D85">
            <v>842132512</v>
          </cell>
        </row>
        <row r="86">
          <cell r="D86">
            <v>100835400</v>
          </cell>
        </row>
        <row r="87">
          <cell r="D87">
            <v>37754372</v>
          </cell>
        </row>
        <row r="88">
          <cell r="D88">
            <v>61063257</v>
          </cell>
        </row>
        <row r="89">
          <cell r="D89">
            <v>103628588</v>
          </cell>
        </row>
        <row r="103">
          <cell r="D103">
            <v>260451266</v>
          </cell>
        </row>
        <row r="104">
          <cell r="D104">
            <v>168970645</v>
          </cell>
        </row>
        <row r="105">
          <cell r="D105">
            <v>90472117</v>
          </cell>
        </row>
        <row r="106">
          <cell r="D106">
            <v>1008504</v>
          </cell>
        </row>
        <row r="107">
          <cell r="D107">
            <v>195838270</v>
          </cell>
        </row>
        <row r="108">
          <cell r="D108">
            <v>32655119</v>
          </cell>
        </row>
        <row r="109">
          <cell r="D109">
            <v>163183151</v>
          </cell>
        </row>
        <row r="110">
          <cell r="D110">
            <v>261231350</v>
          </cell>
        </row>
        <row r="111">
          <cell r="D111">
            <v>10041818</v>
          </cell>
        </row>
        <row r="112">
          <cell r="D112">
            <v>160640280</v>
          </cell>
        </row>
        <row r="113">
          <cell r="D113">
            <v>30183084</v>
          </cell>
        </row>
        <row r="114">
          <cell r="D114">
            <v>60366168</v>
          </cell>
        </row>
        <row r="115">
          <cell r="D115">
            <v>603391545</v>
          </cell>
        </row>
        <row r="116">
          <cell r="D116">
            <v>60240105</v>
          </cell>
        </row>
        <row r="117">
          <cell r="D117">
            <v>91245600</v>
          </cell>
        </row>
        <row r="118">
          <cell r="D118">
            <v>451905840</v>
          </cell>
        </row>
        <row r="119">
          <cell r="D119">
            <v>2770719847</v>
          </cell>
        </row>
        <row r="120">
          <cell r="D120">
            <v>25104546</v>
          </cell>
        </row>
        <row r="121">
          <cell r="D121">
            <v>2745615301</v>
          </cell>
        </row>
        <row r="122">
          <cell r="D122">
            <v>1879979191</v>
          </cell>
        </row>
        <row r="123">
          <cell r="D123">
            <v>151059492</v>
          </cell>
        </row>
        <row r="124">
          <cell r="D124">
            <v>1728919699</v>
          </cell>
        </row>
        <row r="125">
          <cell r="D125">
            <v>20080035</v>
          </cell>
        </row>
        <row r="126">
          <cell r="D126">
            <v>773267448</v>
          </cell>
        </row>
        <row r="128">
          <cell r="D128">
            <v>602386080</v>
          </cell>
        </row>
        <row r="132">
          <cell r="D132">
            <v>1140700937</v>
          </cell>
        </row>
        <row r="133">
          <cell r="D133">
            <v>1140700937</v>
          </cell>
        </row>
        <row r="134">
          <cell r="D134">
            <v>15982800000</v>
          </cell>
        </row>
        <row r="135">
          <cell r="D135">
            <v>7091800000</v>
          </cell>
        </row>
        <row r="136">
          <cell r="D136">
            <v>7091800000</v>
          </cell>
        </row>
        <row r="137">
          <cell r="D137">
            <v>5675700000</v>
          </cell>
        </row>
        <row r="138">
          <cell r="D138">
            <v>1416100000</v>
          </cell>
        </row>
        <row r="139">
          <cell r="D139">
            <v>8891000000</v>
          </cell>
        </row>
        <row r="150">
          <cell r="D150">
            <v>8082816490</v>
          </cell>
        </row>
        <row r="154">
          <cell r="D154">
            <v>173908000000</v>
          </cell>
        </row>
        <row r="155">
          <cell r="D155">
            <v>173908000000</v>
          </cell>
        </row>
        <row r="156">
          <cell r="D156">
            <v>173908000000</v>
          </cell>
        </row>
        <row r="158">
          <cell r="D158">
            <v>101797000000</v>
          </cell>
        </row>
        <row r="159">
          <cell r="D159">
            <v>2236421163061</v>
          </cell>
        </row>
        <row r="160">
          <cell r="D160">
            <v>2047574329819</v>
          </cell>
        </row>
        <row r="161">
          <cell r="D161">
            <v>1514778200000</v>
          </cell>
        </row>
        <row r="162">
          <cell r="D162">
            <v>132417500000</v>
          </cell>
        </row>
      </sheetData>
      <sheetData sheetId="4" refreshError="1">
        <row r="149">
          <cell r="D149">
            <v>8891000000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6B19-6753-4CC1-A641-E0D72B791A4D}">
  <sheetPr>
    <tabColor theme="9"/>
  </sheetPr>
  <dimension ref="A1:M102"/>
  <sheetViews>
    <sheetView topLeftCell="A7" workbookViewId="0">
      <pane ySplit="1" topLeftCell="A99" activePane="bottomLeft" state="frozen"/>
      <selection activeCell="A7" sqref="A7"/>
      <selection pane="bottomLeft" activeCell="C104" sqref="C104"/>
    </sheetView>
  </sheetViews>
  <sheetFormatPr baseColWidth="10" defaultRowHeight="15" x14ac:dyDescent="0.25"/>
  <cols>
    <col min="1" max="1" width="18" customWidth="1"/>
    <col min="2" max="2" width="12.7109375" customWidth="1"/>
    <col min="3" max="3" width="34.42578125" customWidth="1"/>
    <col min="4" max="4" width="19.140625" customWidth="1"/>
    <col min="5" max="7" width="11.42578125" hidden="1" customWidth="1"/>
    <col min="8" max="8" width="15" hidden="1" customWidth="1"/>
    <col min="9" max="9" width="13.5703125" hidden="1" customWidth="1"/>
    <col min="10" max="10" width="15" hidden="1" customWidth="1"/>
    <col min="11" max="11" width="20.5703125" customWidth="1"/>
    <col min="12" max="12" width="18.7109375" customWidth="1"/>
  </cols>
  <sheetData>
    <row r="1" spans="1:13" ht="15.75" thickBot="1" x14ac:dyDescent="0.3">
      <c r="A1" s="4"/>
      <c r="B1" s="15"/>
      <c r="C1" s="11"/>
      <c r="D1" s="12"/>
      <c r="E1" s="12"/>
      <c r="F1" s="12"/>
      <c r="G1" s="12"/>
      <c r="H1" s="12"/>
      <c r="I1" s="12"/>
      <c r="J1" s="12"/>
      <c r="K1" s="12"/>
      <c r="L1" s="12"/>
      <c r="M1" s="19"/>
    </row>
    <row r="2" spans="1:13" ht="23.25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3" x14ac:dyDescent="0.25">
      <c r="A3" s="10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3" ht="18.75" x14ac:dyDescent="0.25">
      <c r="A4" s="10"/>
      <c r="B4" s="15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3" ht="18.75" x14ac:dyDescent="0.25">
      <c r="A5" s="10"/>
      <c r="B5" s="15"/>
      <c r="C5" s="44" t="s">
        <v>208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3" x14ac:dyDescent="0.25">
      <c r="A6" s="10"/>
      <c r="B6" s="15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3" ht="15.75" thickBot="1" x14ac:dyDescent="0.3">
      <c r="A7" s="10"/>
      <c r="B7" s="15"/>
      <c r="C7" s="11"/>
      <c r="D7" s="12"/>
      <c r="E7" s="12"/>
      <c r="F7" s="12"/>
      <c r="G7" s="12"/>
      <c r="H7" s="12"/>
      <c r="I7" s="12"/>
      <c r="J7" s="12"/>
      <c r="K7" s="12"/>
      <c r="L7" s="12"/>
      <c r="M7" s="43"/>
    </row>
    <row r="8" spans="1:13" ht="15.75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126</v>
      </c>
    </row>
    <row r="9" spans="1:13" ht="75" x14ac:dyDescent="0.25">
      <c r="A9" s="262"/>
      <c r="B9" s="262"/>
      <c r="C9" s="262"/>
      <c r="D9" s="257"/>
      <c r="E9" s="162" t="s">
        <v>110</v>
      </c>
      <c r="F9" s="162" t="s">
        <v>111</v>
      </c>
      <c r="G9" s="162" t="s">
        <v>112</v>
      </c>
      <c r="H9" s="162" t="s">
        <v>113</v>
      </c>
      <c r="I9" s="162" t="s">
        <v>114</v>
      </c>
      <c r="J9" s="162" t="s">
        <v>115</v>
      </c>
      <c r="K9" s="257"/>
      <c r="L9" s="257" t="s">
        <v>0</v>
      </c>
      <c r="M9" s="257" t="s">
        <v>1</v>
      </c>
    </row>
    <row r="10" spans="1:13" ht="30.75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3" ht="14.25" customHeight="1" thickBot="1" x14ac:dyDescent="0.3">
      <c r="A11" s="246" t="s">
        <v>2</v>
      </c>
      <c r="B11" s="247"/>
      <c r="C11" s="248" t="s">
        <v>3</v>
      </c>
      <c r="D11" s="249">
        <f>+D12+D48+D98</f>
        <v>12876355512</v>
      </c>
      <c r="E11" s="249" t="e">
        <f>+E12+E53+#REF!</f>
        <v>#REF!</v>
      </c>
      <c r="F11" s="243"/>
      <c r="G11" s="243"/>
      <c r="H11" s="243"/>
      <c r="I11" s="243"/>
      <c r="J11" s="243"/>
      <c r="K11" s="249">
        <f>+K12+K48+K98</f>
        <v>12876355512</v>
      </c>
      <c r="L11" s="249">
        <f>+L12+L48+L98</f>
        <v>11736377424</v>
      </c>
      <c r="M11" s="94">
        <f>+L11/K11</f>
        <v>0.91146733352169351</v>
      </c>
    </row>
    <row r="12" spans="1:13" ht="15.75" x14ac:dyDescent="0.25">
      <c r="A12" s="97">
        <v>1</v>
      </c>
      <c r="B12" s="54"/>
      <c r="C12" s="55" t="s">
        <v>4</v>
      </c>
      <c r="D12" s="56">
        <f t="shared" ref="D12:L12" si="0">+D13</f>
        <v>6014227336</v>
      </c>
      <c r="E12" s="56" t="e">
        <f t="shared" si="0"/>
        <v>#REF!</v>
      </c>
      <c r="F12" s="56" t="e">
        <f t="shared" si="0"/>
        <v>#REF!</v>
      </c>
      <c r="G12" s="56" t="e">
        <f t="shared" si="0"/>
        <v>#REF!</v>
      </c>
      <c r="H12" s="56" t="e">
        <f t="shared" si="0"/>
        <v>#REF!</v>
      </c>
      <c r="I12" s="56" t="e">
        <f t="shared" si="0"/>
        <v>#REF!</v>
      </c>
      <c r="J12" s="81" t="e">
        <f t="shared" si="0"/>
        <v>#REF!</v>
      </c>
      <c r="K12" s="81">
        <f>+D12</f>
        <v>6014227336</v>
      </c>
      <c r="L12" s="81">
        <f t="shared" si="0"/>
        <v>5286648124</v>
      </c>
      <c r="M12" s="98">
        <f t="shared" ref="M12:M65" si="1">+L12/K12</f>
        <v>0.87902365983991793</v>
      </c>
    </row>
    <row r="13" spans="1:13" ht="15.75" x14ac:dyDescent="0.25">
      <c r="A13" s="99">
        <v>10</v>
      </c>
      <c r="B13" s="57"/>
      <c r="C13" s="6" t="s">
        <v>4</v>
      </c>
      <c r="D13" s="58">
        <f t="shared" ref="D13:J13" si="2">+D14+D34+D37</f>
        <v>6014227336</v>
      </c>
      <c r="E13" s="58" t="e">
        <f t="shared" si="2"/>
        <v>#REF!</v>
      </c>
      <c r="F13" s="58" t="e">
        <f t="shared" si="2"/>
        <v>#REF!</v>
      </c>
      <c r="G13" s="58" t="e">
        <f t="shared" si="2"/>
        <v>#REF!</v>
      </c>
      <c r="H13" s="58" t="e">
        <f t="shared" si="2"/>
        <v>#REF!</v>
      </c>
      <c r="I13" s="58" t="e">
        <f t="shared" si="2"/>
        <v>#REF!</v>
      </c>
      <c r="J13" s="82" t="e">
        <f t="shared" si="2"/>
        <v>#REF!</v>
      </c>
      <c r="K13" s="82">
        <f>+D13</f>
        <v>6014227336</v>
      </c>
      <c r="L13" s="82">
        <f>+L14+L34+L37</f>
        <v>5286648124</v>
      </c>
      <c r="M13" s="100">
        <f t="shared" si="1"/>
        <v>0.87902365983991793</v>
      </c>
    </row>
    <row r="14" spans="1:13" ht="63" x14ac:dyDescent="0.25">
      <c r="A14" s="99">
        <v>101</v>
      </c>
      <c r="B14" s="57"/>
      <c r="C14" s="6" t="s">
        <v>5</v>
      </c>
      <c r="D14" s="58">
        <f t="shared" ref="D14:L14" si="3">+D15+D19+D21+D30+D31</f>
        <v>4214620000</v>
      </c>
      <c r="E14" s="58">
        <f t="shared" si="3"/>
        <v>0</v>
      </c>
      <c r="F14" s="58">
        <f t="shared" si="3"/>
        <v>0</v>
      </c>
      <c r="G14" s="58">
        <f t="shared" si="3"/>
        <v>0</v>
      </c>
      <c r="H14" s="58">
        <f t="shared" si="3"/>
        <v>212143459</v>
      </c>
      <c r="I14" s="58">
        <f t="shared" si="3"/>
        <v>379843459</v>
      </c>
      <c r="J14" s="82">
        <f t="shared" si="3"/>
        <v>-167700000</v>
      </c>
      <c r="K14" s="82">
        <f>+D14</f>
        <v>4214620000</v>
      </c>
      <c r="L14" s="82">
        <f t="shared" si="3"/>
        <v>3619763856</v>
      </c>
      <c r="M14" s="100">
        <f t="shared" si="1"/>
        <v>0.85885889024396034</v>
      </c>
    </row>
    <row r="15" spans="1:13" ht="31.5" x14ac:dyDescent="0.25">
      <c r="A15" s="99">
        <v>1011</v>
      </c>
      <c r="B15" s="57"/>
      <c r="C15" s="6" t="s">
        <v>6</v>
      </c>
      <c r="D15" s="58">
        <v>2467167000</v>
      </c>
      <c r="E15" s="58">
        <f t="shared" ref="E15:L15" si="4">+E16+E17+E18</f>
        <v>0</v>
      </c>
      <c r="F15" s="58">
        <f t="shared" si="4"/>
        <v>0</v>
      </c>
      <c r="G15" s="58">
        <f t="shared" si="4"/>
        <v>0</v>
      </c>
      <c r="H15" s="58">
        <f t="shared" si="4"/>
        <v>14000000</v>
      </c>
      <c r="I15" s="58">
        <f t="shared" si="4"/>
        <v>169000000</v>
      </c>
      <c r="J15" s="82">
        <f t="shared" si="4"/>
        <v>-155000000</v>
      </c>
      <c r="K15" s="82">
        <f>+D15</f>
        <v>2467167000</v>
      </c>
      <c r="L15" s="82">
        <f t="shared" si="4"/>
        <v>2324033096</v>
      </c>
      <c r="M15" s="100">
        <f t="shared" si="1"/>
        <v>0.94198450935830447</v>
      </c>
    </row>
    <row r="16" spans="1:13" ht="15.75" x14ac:dyDescent="0.25">
      <c r="A16" s="99">
        <v>10111</v>
      </c>
      <c r="B16" s="57">
        <v>20</v>
      </c>
      <c r="C16" s="6" t="s">
        <v>7</v>
      </c>
      <c r="D16" s="58">
        <v>2368790000</v>
      </c>
      <c r="E16" s="58">
        <v>0</v>
      </c>
      <c r="F16" s="58">
        <v>0</v>
      </c>
      <c r="G16" s="58">
        <v>0</v>
      </c>
      <c r="H16" s="58">
        <v>0</v>
      </c>
      <c r="I16" s="58">
        <f>155000000+14000000</f>
        <v>169000000</v>
      </c>
      <c r="J16" s="82">
        <f t="shared" ref="J16:J65" si="5">E16-F16-G16+H16-I16</f>
        <v>-169000000</v>
      </c>
      <c r="K16" s="82">
        <f>+D16</f>
        <v>2368790000</v>
      </c>
      <c r="L16" s="82">
        <v>2254125755</v>
      </c>
      <c r="M16" s="100">
        <f t="shared" si="1"/>
        <v>0.95159374828498944</v>
      </c>
    </row>
    <row r="17" spans="1:13" ht="31.5" x14ac:dyDescent="0.25">
      <c r="A17" s="99">
        <v>10112</v>
      </c>
      <c r="B17" s="57">
        <v>20</v>
      </c>
      <c r="C17" s="6" t="s">
        <v>8</v>
      </c>
      <c r="D17" s="58">
        <v>96866000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82">
        <f t="shared" si="5"/>
        <v>0</v>
      </c>
      <c r="K17" s="82">
        <f t="shared" ref="K17:K52" si="6">D17+J17</f>
        <v>96866000</v>
      </c>
      <c r="L17" s="82">
        <v>68449691</v>
      </c>
      <c r="M17" s="100">
        <f t="shared" si="1"/>
        <v>0.70664310490781079</v>
      </c>
    </row>
    <row r="18" spans="1:13" ht="47.25" x14ac:dyDescent="0.25">
      <c r="A18" s="99">
        <v>10114</v>
      </c>
      <c r="B18" s="57">
        <v>20</v>
      </c>
      <c r="C18" s="6" t="s">
        <v>9</v>
      </c>
      <c r="D18" s="58">
        <v>1941400</v>
      </c>
      <c r="E18" s="58">
        <v>0</v>
      </c>
      <c r="F18" s="58">
        <v>0</v>
      </c>
      <c r="G18" s="58">
        <v>0</v>
      </c>
      <c r="H18" s="58">
        <v>14000000</v>
      </c>
      <c r="I18" s="58">
        <v>0</v>
      </c>
      <c r="J18" s="82">
        <f t="shared" si="5"/>
        <v>14000000</v>
      </c>
      <c r="K18" s="82">
        <f t="shared" ref="K18:K25" si="7">+D18</f>
        <v>1941400</v>
      </c>
      <c r="L18" s="82">
        <v>1457650</v>
      </c>
      <c r="M18" s="100">
        <f t="shared" si="1"/>
        <v>0.75082414752240656</v>
      </c>
    </row>
    <row r="19" spans="1:13" ht="15.75" x14ac:dyDescent="0.25">
      <c r="A19" s="99">
        <v>1014</v>
      </c>
      <c r="B19" s="57"/>
      <c r="C19" s="6" t="s">
        <v>10</v>
      </c>
      <c r="D19" s="58">
        <f>+D20</f>
        <v>656000000</v>
      </c>
      <c r="E19" s="58">
        <f t="shared" ref="E19:H19" si="8">+E20</f>
        <v>0</v>
      </c>
      <c r="F19" s="58">
        <f t="shared" si="8"/>
        <v>0</v>
      </c>
      <c r="G19" s="58">
        <f t="shared" si="8"/>
        <v>0</v>
      </c>
      <c r="H19" s="58">
        <f t="shared" si="8"/>
        <v>0</v>
      </c>
      <c r="I19" s="58">
        <f>+I20</f>
        <v>39636000</v>
      </c>
      <c r="J19" s="82">
        <f t="shared" si="5"/>
        <v>-39636000</v>
      </c>
      <c r="K19" s="82">
        <f t="shared" si="7"/>
        <v>656000000</v>
      </c>
      <c r="L19" s="82">
        <f>+L20</f>
        <v>580887577</v>
      </c>
      <c r="M19" s="100">
        <f t="shared" si="1"/>
        <v>0.88549935518292688</v>
      </c>
    </row>
    <row r="20" spans="1:13" ht="31.5" x14ac:dyDescent="0.25">
      <c r="A20" s="99">
        <v>10142</v>
      </c>
      <c r="B20" s="57">
        <v>20</v>
      </c>
      <c r="C20" s="6" t="s">
        <v>11</v>
      </c>
      <c r="D20" s="58">
        <v>656000000</v>
      </c>
      <c r="E20" s="58">
        <v>0</v>
      </c>
      <c r="F20" s="58">
        <v>0</v>
      </c>
      <c r="G20" s="58">
        <v>0</v>
      </c>
      <c r="H20" s="58">
        <v>0</v>
      </c>
      <c r="I20" s="58">
        <f>31661000+7975000</f>
        <v>39636000</v>
      </c>
      <c r="J20" s="82">
        <f t="shared" si="5"/>
        <v>-39636000</v>
      </c>
      <c r="K20" s="82">
        <f t="shared" si="7"/>
        <v>656000000</v>
      </c>
      <c r="L20" s="82">
        <v>580887577</v>
      </c>
      <c r="M20" s="100">
        <f t="shared" si="1"/>
        <v>0.88549935518292688</v>
      </c>
    </row>
    <row r="21" spans="1:13" ht="15.75" x14ac:dyDescent="0.25">
      <c r="A21" s="99">
        <v>1015</v>
      </c>
      <c r="B21" s="57"/>
      <c r="C21" s="6" t="s">
        <v>12</v>
      </c>
      <c r="D21" s="58">
        <f>SUM(D22:D29)</f>
        <v>605699000</v>
      </c>
      <c r="E21" s="58">
        <f t="shared" ref="E21:I21" si="9">SUM(E22:E29)</f>
        <v>0</v>
      </c>
      <c r="F21" s="58">
        <f t="shared" si="9"/>
        <v>0</v>
      </c>
      <c r="G21" s="58">
        <f t="shared" si="9"/>
        <v>0</v>
      </c>
      <c r="H21" s="58">
        <f t="shared" si="9"/>
        <v>65874459</v>
      </c>
      <c r="I21" s="58">
        <f t="shared" si="9"/>
        <v>3507459</v>
      </c>
      <c r="J21" s="82">
        <f>E21-F21-G21+H21-I21</f>
        <v>62367000</v>
      </c>
      <c r="K21" s="82">
        <f t="shared" si="7"/>
        <v>605699000</v>
      </c>
      <c r="L21" s="82">
        <v>536080258</v>
      </c>
      <c r="M21" s="100">
        <f t="shared" si="1"/>
        <v>0.88506049704556222</v>
      </c>
    </row>
    <row r="22" spans="1:13" ht="47.25" x14ac:dyDescent="0.25">
      <c r="A22" s="99">
        <v>10152</v>
      </c>
      <c r="B22" s="78">
        <v>20</v>
      </c>
      <c r="C22" s="6" t="s">
        <v>13</v>
      </c>
      <c r="D22" s="58">
        <v>80504000</v>
      </c>
      <c r="E22" s="58">
        <v>0</v>
      </c>
      <c r="F22" s="58">
        <v>0</v>
      </c>
      <c r="G22" s="58">
        <v>0</v>
      </c>
      <c r="H22" s="58">
        <v>13022000</v>
      </c>
      <c r="I22" s="58">
        <v>0</v>
      </c>
      <c r="J22" s="82">
        <f t="shared" si="5"/>
        <v>13022000</v>
      </c>
      <c r="K22" s="82">
        <f t="shared" si="7"/>
        <v>80504000</v>
      </c>
      <c r="L22" s="82">
        <v>62714996</v>
      </c>
      <c r="M22" s="100">
        <f t="shared" si="1"/>
        <v>0.77902956374838517</v>
      </c>
    </row>
    <row r="23" spans="1:13" ht="47.25" x14ac:dyDescent="0.25">
      <c r="A23" s="99">
        <v>10155</v>
      </c>
      <c r="B23" s="78">
        <v>20</v>
      </c>
      <c r="C23" s="6" t="s">
        <v>14</v>
      </c>
      <c r="D23" s="58">
        <v>16441500</v>
      </c>
      <c r="E23" s="58">
        <v>0</v>
      </c>
      <c r="F23" s="58">
        <v>0</v>
      </c>
      <c r="G23" s="58">
        <v>0</v>
      </c>
      <c r="H23" s="58">
        <v>51000</v>
      </c>
      <c r="I23" s="58">
        <v>0</v>
      </c>
      <c r="J23" s="82">
        <f t="shared" si="5"/>
        <v>51000</v>
      </c>
      <c r="K23" s="82">
        <f t="shared" si="7"/>
        <v>16441500</v>
      </c>
      <c r="L23" s="82">
        <v>15865561</v>
      </c>
      <c r="M23" s="100">
        <f t="shared" si="1"/>
        <v>0.96497041024237451</v>
      </c>
    </row>
    <row r="24" spans="1:13" ht="31.5" x14ac:dyDescent="0.25">
      <c r="A24" s="99">
        <v>101512</v>
      </c>
      <c r="B24" s="78">
        <v>20</v>
      </c>
      <c r="C24" s="6" t="s">
        <v>15</v>
      </c>
      <c r="D24" s="58">
        <v>4567623</v>
      </c>
      <c r="E24" s="58">
        <v>0</v>
      </c>
      <c r="F24" s="58">
        <v>0</v>
      </c>
      <c r="G24" s="58">
        <v>0</v>
      </c>
      <c r="H24" s="58">
        <v>290000</v>
      </c>
      <c r="I24" s="58">
        <v>0</v>
      </c>
      <c r="J24" s="82">
        <f t="shared" si="5"/>
        <v>290000</v>
      </c>
      <c r="K24" s="82">
        <f t="shared" si="7"/>
        <v>4567623</v>
      </c>
      <c r="L24" s="82">
        <v>4225500</v>
      </c>
      <c r="M24" s="100">
        <f t="shared" si="1"/>
        <v>0.9250982403757928</v>
      </c>
    </row>
    <row r="25" spans="1:13" ht="31.5" x14ac:dyDescent="0.25">
      <c r="A25" s="99">
        <v>101513</v>
      </c>
      <c r="B25" s="78">
        <v>20</v>
      </c>
      <c r="C25" s="6" t="s">
        <v>130</v>
      </c>
      <c r="D25" s="58">
        <v>740952</v>
      </c>
      <c r="E25" s="58">
        <v>0</v>
      </c>
      <c r="F25" s="58">
        <v>0</v>
      </c>
      <c r="G25" s="58">
        <v>0</v>
      </c>
      <c r="H25" s="58">
        <v>3507459</v>
      </c>
      <c r="I25" s="58">
        <v>0</v>
      </c>
      <c r="J25" s="82">
        <f t="shared" si="5"/>
        <v>3507459</v>
      </c>
      <c r="K25" s="82">
        <f t="shared" si="7"/>
        <v>740952</v>
      </c>
      <c r="L25" s="82">
        <v>703904</v>
      </c>
      <c r="M25" s="100">
        <f t="shared" si="1"/>
        <v>0.94999946015396408</v>
      </c>
    </row>
    <row r="26" spans="1:13" ht="15.75" x14ac:dyDescent="0.25">
      <c r="A26" s="99">
        <v>101514</v>
      </c>
      <c r="B26" s="78">
        <v>20</v>
      </c>
      <c r="C26" s="6" t="s">
        <v>16</v>
      </c>
      <c r="D26" s="58">
        <v>99982425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82">
        <f t="shared" si="5"/>
        <v>0</v>
      </c>
      <c r="K26" s="82">
        <f t="shared" si="6"/>
        <v>99982425</v>
      </c>
      <c r="L26" s="82">
        <v>97171992</v>
      </c>
      <c r="M26" s="100">
        <f t="shared" si="1"/>
        <v>0.97189072979576163</v>
      </c>
    </row>
    <row r="27" spans="1:13" ht="31.5" x14ac:dyDescent="0.25">
      <c r="A27" s="99">
        <v>101515</v>
      </c>
      <c r="B27" s="78">
        <v>20</v>
      </c>
      <c r="C27" s="6" t="s">
        <v>17</v>
      </c>
      <c r="D27" s="58">
        <v>126290000</v>
      </c>
      <c r="E27" s="58">
        <v>0</v>
      </c>
      <c r="F27" s="58">
        <v>0</v>
      </c>
      <c r="G27" s="58">
        <v>0</v>
      </c>
      <c r="H27" s="58">
        <v>48948000</v>
      </c>
      <c r="I27" s="58">
        <v>0</v>
      </c>
      <c r="J27" s="82">
        <f t="shared" si="5"/>
        <v>48948000</v>
      </c>
      <c r="K27" s="82">
        <f t="shared" ref="K27:K35" si="10">+D27</f>
        <v>126290000</v>
      </c>
      <c r="L27" s="82">
        <v>124330303</v>
      </c>
      <c r="M27" s="100">
        <f t="shared" si="1"/>
        <v>0.98448256394013778</v>
      </c>
    </row>
    <row r="28" spans="1:13" ht="15.75" x14ac:dyDescent="0.25">
      <c r="A28" s="99">
        <v>101516</v>
      </c>
      <c r="B28" s="78">
        <v>20</v>
      </c>
      <c r="C28" s="6" t="s">
        <v>18</v>
      </c>
      <c r="D28" s="58">
        <v>247931500</v>
      </c>
      <c r="E28" s="58">
        <v>0</v>
      </c>
      <c r="F28" s="58">
        <v>0</v>
      </c>
      <c r="G28" s="58">
        <v>0</v>
      </c>
      <c r="H28" s="58">
        <v>0</v>
      </c>
      <c r="I28" s="58">
        <v>3507459</v>
      </c>
      <c r="J28" s="82">
        <f t="shared" si="5"/>
        <v>-3507459</v>
      </c>
      <c r="K28" s="82">
        <f t="shared" si="10"/>
        <v>247931500</v>
      </c>
      <c r="L28" s="82">
        <v>214452225</v>
      </c>
      <c r="M28" s="100">
        <f t="shared" si="1"/>
        <v>0.86496562558609935</v>
      </c>
    </row>
    <row r="29" spans="1:13" ht="31.5" x14ac:dyDescent="0.25">
      <c r="A29" s="99">
        <v>101592</v>
      </c>
      <c r="B29" s="78">
        <v>20</v>
      </c>
      <c r="C29" s="6" t="s">
        <v>19</v>
      </c>
      <c r="D29" s="58">
        <v>29241000</v>
      </c>
      <c r="E29" s="58">
        <v>0</v>
      </c>
      <c r="F29" s="58">
        <v>0</v>
      </c>
      <c r="G29" s="58">
        <v>0</v>
      </c>
      <c r="H29" s="58">
        <v>56000</v>
      </c>
      <c r="I29" s="58">
        <v>0</v>
      </c>
      <c r="J29" s="82">
        <f t="shared" si="5"/>
        <v>56000</v>
      </c>
      <c r="K29" s="82">
        <f t="shared" si="10"/>
        <v>29241000</v>
      </c>
      <c r="L29" s="82">
        <v>16796047</v>
      </c>
      <c r="M29" s="100">
        <f t="shared" si="1"/>
        <v>0.5744005676960432</v>
      </c>
    </row>
    <row r="30" spans="1:13" ht="63" x14ac:dyDescent="0.25">
      <c r="A30" s="99">
        <v>10108</v>
      </c>
      <c r="B30" s="57">
        <v>20</v>
      </c>
      <c r="C30" s="6" t="s">
        <v>23</v>
      </c>
      <c r="D30" s="58">
        <v>293400000</v>
      </c>
      <c r="E30" s="58">
        <v>0</v>
      </c>
      <c r="F30" s="58">
        <v>0</v>
      </c>
      <c r="G30" s="58">
        <v>0</v>
      </c>
      <c r="H30" s="58">
        <v>0</v>
      </c>
      <c r="I30" s="58">
        <v>167700000</v>
      </c>
      <c r="J30" s="82">
        <f t="shared" si="5"/>
        <v>-167700000</v>
      </c>
      <c r="K30" s="82">
        <f t="shared" si="10"/>
        <v>293400000</v>
      </c>
      <c r="L30" s="82">
        <v>0</v>
      </c>
      <c r="M30" s="100">
        <v>0</v>
      </c>
    </row>
    <row r="31" spans="1:13" ht="63" x14ac:dyDescent="0.25">
      <c r="A31" s="99">
        <v>1019</v>
      </c>
      <c r="B31" s="57"/>
      <c r="C31" s="6" t="s">
        <v>20</v>
      </c>
      <c r="D31" s="58">
        <v>192354000</v>
      </c>
      <c r="E31" s="58">
        <f t="shared" ref="E31:I31" si="11">+E32+E33</f>
        <v>0</v>
      </c>
      <c r="F31" s="58">
        <f t="shared" si="11"/>
        <v>0</v>
      </c>
      <c r="G31" s="58">
        <f t="shared" si="11"/>
        <v>0</v>
      </c>
      <c r="H31" s="58">
        <f t="shared" si="11"/>
        <v>132269000</v>
      </c>
      <c r="I31" s="58">
        <f t="shared" si="11"/>
        <v>0</v>
      </c>
      <c r="J31" s="82">
        <f t="shared" si="5"/>
        <v>132269000</v>
      </c>
      <c r="K31" s="82">
        <f t="shared" si="10"/>
        <v>192354000</v>
      </c>
      <c r="L31" s="82">
        <v>178762925</v>
      </c>
      <c r="M31" s="100">
        <f t="shared" si="1"/>
        <v>0.92934342410347592</v>
      </c>
    </row>
    <row r="32" spans="1:13" ht="15.75" x14ac:dyDescent="0.25">
      <c r="A32" s="99">
        <v>10191</v>
      </c>
      <c r="B32" s="57">
        <v>20</v>
      </c>
      <c r="C32" s="6" t="s">
        <v>21</v>
      </c>
      <c r="D32" s="58">
        <v>37136349</v>
      </c>
      <c r="E32" s="58">
        <v>0</v>
      </c>
      <c r="F32" s="58">
        <v>0</v>
      </c>
      <c r="G32" s="58">
        <v>0</v>
      </c>
      <c r="H32" s="58">
        <v>31661000</v>
      </c>
      <c r="I32" s="58">
        <v>0</v>
      </c>
      <c r="J32" s="82">
        <f t="shared" si="5"/>
        <v>31661000</v>
      </c>
      <c r="K32" s="82">
        <f t="shared" si="10"/>
        <v>37136349</v>
      </c>
      <c r="L32" s="82">
        <v>37136349</v>
      </c>
      <c r="M32" s="100">
        <f t="shared" si="1"/>
        <v>1</v>
      </c>
    </row>
    <row r="33" spans="1:13" ht="31.5" x14ac:dyDescent="0.25">
      <c r="A33" s="99">
        <v>10193</v>
      </c>
      <c r="B33" s="57">
        <v>20</v>
      </c>
      <c r="C33" s="6" t="s">
        <v>22</v>
      </c>
      <c r="D33" s="58">
        <v>155217651</v>
      </c>
      <c r="E33" s="58">
        <v>0</v>
      </c>
      <c r="F33" s="58">
        <v>0</v>
      </c>
      <c r="G33" s="58">
        <v>0</v>
      </c>
      <c r="H33" s="58">
        <v>100608000</v>
      </c>
      <c r="I33" s="58">
        <v>0</v>
      </c>
      <c r="J33" s="82">
        <f t="shared" si="5"/>
        <v>100608000</v>
      </c>
      <c r="K33" s="82">
        <f t="shared" si="10"/>
        <v>155217651</v>
      </c>
      <c r="L33" s="82">
        <v>141626576</v>
      </c>
      <c r="M33" s="100">
        <f t="shared" si="1"/>
        <v>0.91243859888074197</v>
      </c>
    </row>
    <row r="34" spans="1:13" ht="31.5" x14ac:dyDescent="0.25">
      <c r="A34" s="99">
        <v>102</v>
      </c>
      <c r="B34" s="57"/>
      <c r="C34" s="6" t="s">
        <v>24</v>
      </c>
      <c r="D34" s="58">
        <v>765930000</v>
      </c>
      <c r="E34" s="58" t="e">
        <f>+E35+E36+#REF!</f>
        <v>#REF!</v>
      </c>
      <c r="F34" s="58" t="e">
        <f>+F35+F36+#REF!</f>
        <v>#REF!</v>
      </c>
      <c r="G34" s="58" t="e">
        <f>+G35+G36+#REF!</f>
        <v>#REF!</v>
      </c>
      <c r="H34" s="58" t="e">
        <f>+H35+H36+#REF!</f>
        <v>#REF!</v>
      </c>
      <c r="I34" s="58" t="e">
        <f>+I35+I36+#REF!</f>
        <v>#REF!</v>
      </c>
      <c r="J34" s="82" t="e">
        <f t="shared" si="5"/>
        <v>#REF!</v>
      </c>
      <c r="K34" s="82">
        <f t="shared" si="10"/>
        <v>765930000</v>
      </c>
      <c r="L34" s="82">
        <v>675377293</v>
      </c>
      <c r="M34" s="100">
        <f t="shared" si="1"/>
        <v>0.88177417388011958</v>
      </c>
    </row>
    <row r="35" spans="1:13" ht="15.75" x14ac:dyDescent="0.25">
      <c r="A35" s="99">
        <v>10212</v>
      </c>
      <c r="B35" s="57">
        <v>20</v>
      </c>
      <c r="C35" s="6" t="s">
        <v>25</v>
      </c>
      <c r="D35" s="58">
        <v>220880816</v>
      </c>
      <c r="E35" s="58">
        <v>0</v>
      </c>
      <c r="F35" s="58">
        <v>0</v>
      </c>
      <c r="G35" s="58">
        <v>0</v>
      </c>
      <c r="H35" s="58">
        <v>0</v>
      </c>
      <c r="I35" s="58">
        <v>272351827</v>
      </c>
      <c r="J35" s="82">
        <f t="shared" si="5"/>
        <v>-272351827</v>
      </c>
      <c r="K35" s="82">
        <f t="shared" si="10"/>
        <v>220880816</v>
      </c>
      <c r="L35" s="82">
        <v>187361500</v>
      </c>
      <c r="M35" s="100">
        <f t="shared" si="1"/>
        <v>0.84824704740315704</v>
      </c>
    </row>
    <row r="36" spans="1:13" ht="47.25" x14ac:dyDescent="0.25">
      <c r="A36" s="99">
        <v>10214</v>
      </c>
      <c r="B36" s="57">
        <v>20</v>
      </c>
      <c r="C36" s="6" t="s">
        <v>26</v>
      </c>
      <c r="D36" s="58">
        <v>545049184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82">
        <f t="shared" si="5"/>
        <v>0</v>
      </c>
      <c r="K36" s="82">
        <f t="shared" si="6"/>
        <v>545049184</v>
      </c>
      <c r="L36" s="82">
        <v>488015793</v>
      </c>
      <c r="M36" s="100">
        <f t="shared" si="1"/>
        <v>0.89536101938279389</v>
      </c>
    </row>
    <row r="37" spans="1:13" ht="47.25" x14ac:dyDescent="0.25">
      <c r="A37" s="99">
        <v>105</v>
      </c>
      <c r="B37" s="57"/>
      <c r="C37" s="6" t="s">
        <v>27</v>
      </c>
      <c r="D37" s="58">
        <v>1033677336</v>
      </c>
      <c r="E37" s="58" t="e">
        <f>+E38+E41+E42+E43</f>
        <v>#REF!</v>
      </c>
      <c r="F37" s="58" t="e">
        <f>+F38+F41+F42+F43</f>
        <v>#REF!</v>
      </c>
      <c r="G37" s="58" t="e">
        <f>+G38+G41+G42+G43</f>
        <v>#REF!</v>
      </c>
      <c r="H37" s="58" t="e">
        <f>+H38+H41+H42+H43</f>
        <v>#REF!</v>
      </c>
      <c r="I37" s="58" t="e">
        <f>+I38+I41+I42+I43</f>
        <v>#REF!</v>
      </c>
      <c r="J37" s="82" t="e">
        <f t="shared" si="5"/>
        <v>#REF!</v>
      </c>
      <c r="K37" s="82">
        <f>+D37</f>
        <v>1033677336</v>
      </c>
      <c r="L37" s="82">
        <v>991506975</v>
      </c>
      <c r="M37" s="100">
        <f t="shared" si="1"/>
        <v>0.95920355459936291</v>
      </c>
    </row>
    <row r="38" spans="1:13" ht="31.5" x14ac:dyDescent="0.25">
      <c r="A38" s="99">
        <v>1051</v>
      </c>
      <c r="B38" s="57"/>
      <c r="C38" s="6" t="s">
        <v>28</v>
      </c>
      <c r="D38" s="58">
        <v>506144685</v>
      </c>
      <c r="E38" s="58" t="e">
        <f>+#REF!+E39+E40</f>
        <v>#REF!</v>
      </c>
      <c r="F38" s="58" t="e">
        <f>+#REF!+F39+F40</f>
        <v>#REF!</v>
      </c>
      <c r="G38" s="58" t="e">
        <f>+#REF!+G39+G40</f>
        <v>#REF!</v>
      </c>
      <c r="H38" s="58" t="e">
        <f>+#REF!+H39+H40</f>
        <v>#REF!</v>
      </c>
      <c r="I38" s="58" t="e">
        <f>+#REF!+I39+I40</f>
        <v>#REF!</v>
      </c>
      <c r="J38" s="82" t="e">
        <f t="shared" si="5"/>
        <v>#REF!</v>
      </c>
      <c r="K38" s="82">
        <f>+D38</f>
        <v>506144685</v>
      </c>
      <c r="L38" s="82">
        <v>486520494</v>
      </c>
      <c r="M38" s="100">
        <f t="shared" si="1"/>
        <v>0.96122810022197502</v>
      </c>
    </row>
    <row r="39" spans="1:13" ht="47.25" x14ac:dyDescent="0.25">
      <c r="A39" s="99">
        <v>10513</v>
      </c>
      <c r="B39" s="57">
        <v>20</v>
      </c>
      <c r="C39" s="6" t="s">
        <v>30</v>
      </c>
      <c r="D39" s="58">
        <v>254467319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82">
        <f t="shared" si="5"/>
        <v>0</v>
      </c>
      <c r="K39" s="82">
        <v>384910936</v>
      </c>
      <c r="L39" s="82">
        <v>176454622</v>
      </c>
      <c r="M39" s="100">
        <f t="shared" si="1"/>
        <v>0.45842974438117812</v>
      </c>
    </row>
    <row r="40" spans="1:13" ht="63" x14ac:dyDescent="0.25">
      <c r="A40" s="99">
        <v>10514</v>
      </c>
      <c r="B40" s="57">
        <v>20</v>
      </c>
      <c r="C40" s="6" t="s">
        <v>31</v>
      </c>
      <c r="D40" s="58">
        <v>242111733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82">
        <f t="shared" si="5"/>
        <v>0</v>
      </c>
      <c r="K40" s="82">
        <f t="shared" si="6"/>
        <v>242111733</v>
      </c>
      <c r="L40" s="82">
        <v>203702120</v>
      </c>
      <c r="M40" s="100">
        <f t="shared" si="1"/>
        <v>0.84135583796758828</v>
      </c>
    </row>
    <row r="41" spans="1:13" ht="31.5" x14ac:dyDescent="0.25">
      <c r="A41" s="99">
        <v>1052</v>
      </c>
      <c r="B41" s="57"/>
      <c r="C41" s="6" t="s">
        <v>32</v>
      </c>
      <c r="D41" s="58">
        <v>384910936</v>
      </c>
      <c r="E41" s="58" t="e">
        <f>+#REF!+#REF!+#REF!</f>
        <v>#REF!</v>
      </c>
      <c r="F41" s="58" t="e">
        <f>+#REF!+#REF!+#REF!</f>
        <v>#REF!</v>
      </c>
      <c r="G41" s="58" t="e">
        <f>+#REF!+#REF!+#REF!</f>
        <v>#REF!</v>
      </c>
      <c r="H41" s="58" t="e">
        <f>+#REF!+#REF!+#REF!</f>
        <v>#REF!</v>
      </c>
      <c r="I41" s="58" t="e">
        <f>+#REF!+#REF!+#REF!</f>
        <v>#REF!</v>
      </c>
      <c r="J41" s="82" t="e">
        <f t="shared" si="5"/>
        <v>#REF!</v>
      </c>
      <c r="K41" s="82">
        <f>+D41</f>
        <v>384910936</v>
      </c>
      <c r="L41" s="82">
        <v>374592987</v>
      </c>
      <c r="M41" s="100">
        <f t="shared" si="1"/>
        <v>0.97319393128388532</v>
      </c>
    </row>
    <row r="42" spans="1:13" ht="15.75" x14ac:dyDescent="0.25">
      <c r="A42" s="99">
        <v>1056</v>
      </c>
      <c r="B42" s="57">
        <v>20</v>
      </c>
      <c r="C42" s="6" t="s">
        <v>36</v>
      </c>
      <c r="D42" s="58">
        <v>85548333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82">
        <f t="shared" si="5"/>
        <v>0</v>
      </c>
      <c r="K42" s="82">
        <f>+D42</f>
        <v>85548333</v>
      </c>
      <c r="L42" s="82">
        <v>78223552</v>
      </c>
      <c r="M42" s="100">
        <f t="shared" si="1"/>
        <v>0.91437844849647743</v>
      </c>
    </row>
    <row r="43" spans="1:13" ht="15.75" x14ac:dyDescent="0.25">
      <c r="A43" s="99">
        <v>1057</v>
      </c>
      <c r="B43" s="57">
        <v>20</v>
      </c>
      <c r="C43" s="6" t="s">
        <v>37</v>
      </c>
      <c r="D43" s="58">
        <v>50905379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82">
        <f t="shared" si="5"/>
        <v>0</v>
      </c>
      <c r="K43" s="82">
        <f t="shared" si="6"/>
        <v>50905379</v>
      </c>
      <c r="L43" s="82">
        <v>46001939</v>
      </c>
      <c r="M43" s="100">
        <f t="shared" si="1"/>
        <v>0.90367540530441781</v>
      </c>
    </row>
    <row r="44" spans="1:13" ht="15.75" x14ac:dyDescent="0.25">
      <c r="A44" s="99">
        <v>1058</v>
      </c>
      <c r="B44" s="57">
        <v>20</v>
      </c>
      <c r="C44" s="6" t="s">
        <v>247</v>
      </c>
      <c r="D44" s="58">
        <v>2056222</v>
      </c>
      <c r="E44" s="58"/>
      <c r="F44" s="58"/>
      <c r="G44" s="58"/>
      <c r="H44" s="58"/>
      <c r="I44" s="58"/>
      <c r="J44" s="82"/>
      <c r="K44" s="82">
        <f t="shared" ref="K44:K50" si="12">+D44</f>
        <v>2056222</v>
      </c>
      <c r="L44" s="82">
        <v>2056222</v>
      </c>
      <c r="M44" s="100">
        <f t="shared" si="1"/>
        <v>1</v>
      </c>
    </row>
    <row r="45" spans="1:13" ht="47.25" x14ac:dyDescent="0.25">
      <c r="A45" s="99">
        <v>1059</v>
      </c>
      <c r="B45" s="57">
        <v>20</v>
      </c>
      <c r="C45" s="6" t="s">
        <v>248</v>
      </c>
      <c r="D45" s="58">
        <v>4111781</v>
      </c>
      <c r="E45" s="58"/>
      <c r="F45" s="58"/>
      <c r="G45" s="58"/>
      <c r="H45" s="58"/>
      <c r="I45" s="58"/>
      <c r="J45" s="82"/>
      <c r="K45" s="82">
        <f t="shared" si="12"/>
        <v>4111781</v>
      </c>
      <c r="L45" s="82">
        <v>4111781</v>
      </c>
      <c r="M45" s="100">
        <f t="shared" si="1"/>
        <v>1</v>
      </c>
    </row>
    <row r="46" spans="1:13" ht="15.75" x14ac:dyDescent="0.25">
      <c r="A46" s="99">
        <v>2</v>
      </c>
      <c r="B46" s="57"/>
      <c r="C46" s="6" t="s">
        <v>38</v>
      </c>
      <c r="D46" s="58">
        <f>+D47</f>
        <v>2348950</v>
      </c>
      <c r="E46" s="58" t="e">
        <f t="shared" ref="E46:I46" si="13">+E47</f>
        <v>#REF!</v>
      </c>
      <c r="F46" s="58" t="e">
        <f t="shared" si="13"/>
        <v>#REF!</v>
      </c>
      <c r="G46" s="58" t="e">
        <f t="shared" si="13"/>
        <v>#REF!</v>
      </c>
      <c r="H46" s="58" t="e">
        <f t="shared" si="13"/>
        <v>#REF!</v>
      </c>
      <c r="I46" s="58" t="e">
        <f t="shared" si="13"/>
        <v>#REF!</v>
      </c>
      <c r="J46" s="82" t="e">
        <f t="shared" si="5"/>
        <v>#REF!</v>
      </c>
      <c r="K46" s="82">
        <f t="shared" si="12"/>
        <v>2348950</v>
      </c>
      <c r="L46" s="82">
        <f>+L47</f>
        <v>2348950</v>
      </c>
      <c r="M46" s="100">
        <f t="shared" si="1"/>
        <v>1</v>
      </c>
    </row>
    <row r="47" spans="1:13" ht="15.75" x14ac:dyDescent="0.25">
      <c r="A47" s="99">
        <v>20</v>
      </c>
      <c r="B47" s="57"/>
      <c r="C47" s="6" t="s">
        <v>38</v>
      </c>
      <c r="D47" s="58">
        <v>2348950</v>
      </c>
      <c r="E47" s="58" t="e">
        <f>+E48+E50</f>
        <v>#REF!</v>
      </c>
      <c r="F47" s="58" t="e">
        <f>+F48+F50</f>
        <v>#REF!</v>
      </c>
      <c r="G47" s="58" t="e">
        <f>+G48+G50</f>
        <v>#REF!</v>
      </c>
      <c r="H47" s="58" t="e">
        <f>+H48+H50</f>
        <v>#REF!</v>
      </c>
      <c r="I47" s="58" t="e">
        <f>+I48+I50</f>
        <v>#REF!</v>
      </c>
      <c r="J47" s="82" t="e">
        <f t="shared" si="5"/>
        <v>#REF!</v>
      </c>
      <c r="K47" s="82">
        <f t="shared" si="12"/>
        <v>2348950</v>
      </c>
      <c r="L47" s="82">
        <f>+D47</f>
        <v>2348950</v>
      </c>
      <c r="M47" s="100">
        <f t="shared" si="1"/>
        <v>1</v>
      </c>
    </row>
    <row r="48" spans="1:13" ht="15.75" x14ac:dyDescent="0.25">
      <c r="A48" s="99">
        <v>203</v>
      </c>
      <c r="B48" s="57"/>
      <c r="C48" s="6" t="s">
        <v>39</v>
      </c>
      <c r="D48" s="58">
        <v>2785000</v>
      </c>
      <c r="E48" s="58" t="e">
        <f t="shared" ref="E48:I48" si="14">+E49</f>
        <v>#REF!</v>
      </c>
      <c r="F48" s="58" t="e">
        <f t="shared" si="14"/>
        <v>#REF!</v>
      </c>
      <c r="G48" s="58" t="e">
        <f t="shared" si="14"/>
        <v>#REF!</v>
      </c>
      <c r="H48" s="58" t="e">
        <f t="shared" si="14"/>
        <v>#REF!</v>
      </c>
      <c r="I48" s="58" t="e">
        <f t="shared" si="14"/>
        <v>#REF!</v>
      </c>
      <c r="J48" s="82" t="e">
        <f t="shared" si="5"/>
        <v>#REF!</v>
      </c>
      <c r="K48" s="82">
        <f t="shared" si="12"/>
        <v>2785000</v>
      </c>
      <c r="L48" s="82">
        <v>2784998</v>
      </c>
      <c r="M48" s="100">
        <f t="shared" si="1"/>
        <v>0.99999928186714537</v>
      </c>
    </row>
    <row r="49" spans="1:13" ht="15.75" x14ac:dyDescent="0.25">
      <c r="A49" s="99">
        <v>20350</v>
      </c>
      <c r="B49" s="57"/>
      <c r="C49" s="6" t="s">
        <v>40</v>
      </c>
      <c r="D49" s="58">
        <v>2785000</v>
      </c>
      <c r="E49" s="58" t="e">
        <f>+#REF!+#REF!</f>
        <v>#REF!</v>
      </c>
      <c r="F49" s="58" t="e">
        <f>+#REF!+#REF!</f>
        <v>#REF!</v>
      </c>
      <c r="G49" s="58" t="e">
        <f>+#REF!+#REF!</f>
        <v>#REF!</v>
      </c>
      <c r="H49" s="58" t="e">
        <f>+#REF!+#REF!</f>
        <v>#REF!</v>
      </c>
      <c r="I49" s="58" t="e">
        <f>+#REF!+#REF!</f>
        <v>#REF!</v>
      </c>
      <c r="J49" s="82" t="e">
        <f t="shared" si="5"/>
        <v>#REF!</v>
      </c>
      <c r="K49" s="82">
        <f t="shared" si="12"/>
        <v>2785000</v>
      </c>
      <c r="L49" s="82">
        <v>2784998</v>
      </c>
      <c r="M49" s="100">
        <f t="shared" si="1"/>
        <v>0.99999928186714537</v>
      </c>
    </row>
    <row r="50" spans="1:13" ht="31.5" x14ac:dyDescent="0.25">
      <c r="A50" s="99">
        <v>204</v>
      </c>
      <c r="B50" s="57"/>
      <c r="C50" s="6" t="s">
        <v>43</v>
      </c>
      <c r="D50" s="58">
        <v>2346165</v>
      </c>
      <c r="E50" s="58" t="e">
        <f>+E51+E56+E59+#REF!+#REF!+#REF!+#REF!+#REF!+#REF!+#REF!+#REF!+#REF!+#REF!+#REF!</f>
        <v>#REF!</v>
      </c>
      <c r="F50" s="58" t="e">
        <f>+F51+F56+F59+#REF!+#REF!+#REF!+#REF!+#REF!+#REF!+#REF!+#REF!+#REF!+#REF!+#REF!</f>
        <v>#REF!</v>
      </c>
      <c r="G50" s="58" t="e">
        <f>+G51+G56+G59+#REF!+#REF!+#REF!+#REF!+#REF!+#REF!+#REF!+#REF!+#REF!+#REF!+#REF!</f>
        <v>#REF!</v>
      </c>
      <c r="H50" s="58" t="e">
        <f>+H51+H56+H59+#REF!+#REF!+#REF!+#REF!+#REF!+#REF!+#REF!+#REF!+#REF!+#REF!+#REF!</f>
        <v>#REF!</v>
      </c>
      <c r="I50" s="58" t="e">
        <f>+I51+I56+I59+#REF!+#REF!+#REF!+#REF!+#REF!+#REF!+#REF!+#REF!+#REF!+#REF!+#REF!</f>
        <v>#REF!</v>
      </c>
      <c r="J50" s="82" t="e">
        <f t="shared" si="5"/>
        <v>#REF!</v>
      </c>
      <c r="K50" s="82">
        <f t="shared" si="12"/>
        <v>2346165</v>
      </c>
      <c r="L50" s="82">
        <f>+K50</f>
        <v>2346165</v>
      </c>
      <c r="M50" s="100">
        <f t="shared" si="1"/>
        <v>1</v>
      </c>
    </row>
    <row r="51" spans="1:13" ht="15.75" x14ac:dyDescent="0.25">
      <c r="A51" s="99">
        <v>2041</v>
      </c>
      <c r="B51" s="57"/>
      <c r="C51" s="6" t="s">
        <v>131</v>
      </c>
      <c r="D51" s="58">
        <f>+K51</f>
        <v>302821098</v>
      </c>
      <c r="E51" s="58">
        <f t="shared" ref="E51:I51" si="15">SUM(E52:E55)</f>
        <v>0</v>
      </c>
      <c r="F51" s="58">
        <f t="shared" si="15"/>
        <v>0</v>
      </c>
      <c r="G51" s="58">
        <f t="shared" si="15"/>
        <v>0</v>
      </c>
      <c r="H51" s="58">
        <f t="shared" si="15"/>
        <v>87097400</v>
      </c>
      <c r="I51" s="58">
        <f t="shared" si="15"/>
        <v>0</v>
      </c>
      <c r="J51" s="82">
        <f t="shared" si="5"/>
        <v>87097400</v>
      </c>
      <c r="K51" s="82">
        <v>302821098</v>
      </c>
      <c r="L51" s="82">
        <v>300181985</v>
      </c>
      <c r="M51" s="100">
        <f t="shared" si="1"/>
        <v>0.99128491040607747</v>
      </c>
    </row>
    <row r="52" spans="1:13" ht="31.5" x14ac:dyDescent="0.25">
      <c r="A52" s="99">
        <v>20402</v>
      </c>
      <c r="B52" s="57">
        <v>20</v>
      </c>
      <c r="C52" s="6" t="s">
        <v>135</v>
      </c>
      <c r="D52" s="58">
        <v>7274000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82">
        <f t="shared" si="5"/>
        <v>0</v>
      </c>
      <c r="K52" s="82">
        <f t="shared" si="6"/>
        <v>7274000</v>
      </c>
      <c r="L52" s="82">
        <v>0</v>
      </c>
      <c r="M52" s="100">
        <f t="shared" si="1"/>
        <v>0</v>
      </c>
    </row>
    <row r="53" spans="1:13" ht="31.5" x14ac:dyDescent="0.25">
      <c r="A53" s="99">
        <v>20404</v>
      </c>
      <c r="B53" s="57">
        <v>20</v>
      </c>
      <c r="C53" s="6" t="s">
        <v>44</v>
      </c>
      <c r="D53" s="58">
        <v>174135792</v>
      </c>
      <c r="E53" s="58">
        <v>0</v>
      </c>
      <c r="F53" s="58">
        <v>0</v>
      </c>
      <c r="G53" s="58">
        <v>0</v>
      </c>
      <c r="H53" s="58">
        <f>25000000+39708200</f>
        <v>64708200</v>
      </c>
      <c r="I53" s="58">
        <v>0</v>
      </c>
      <c r="J53" s="82">
        <f t="shared" si="5"/>
        <v>64708200</v>
      </c>
      <c r="K53" s="82">
        <f t="shared" ref="K53:K69" si="16">+D53</f>
        <v>174135792</v>
      </c>
      <c r="L53" s="82">
        <f>+K53</f>
        <v>174135792</v>
      </c>
      <c r="M53" s="100">
        <f t="shared" si="1"/>
        <v>1</v>
      </c>
    </row>
    <row r="54" spans="1:13" ht="15.75" x14ac:dyDescent="0.25">
      <c r="A54" s="99">
        <v>20405</v>
      </c>
      <c r="B54" s="57">
        <v>20</v>
      </c>
      <c r="C54" s="6" t="s">
        <v>55</v>
      </c>
      <c r="D54" s="58">
        <v>117001814</v>
      </c>
      <c r="E54" s="58">
        <v>0</v>
      </c>
      <c r="F54" s="58">
        <v>0</v>
      </c>
      <c r="G54" s="58">
        <v>0</v>
      </c>
      <c r="H54" s="58">
        <v>6526000</v>
      </c>
      <c r="I54" s="58">
        <v>0</v>
      </c>
      <c r="J54" s="82">
        <f t="shared" si="5"/>
        <v>6526000</v>
      </c>
      <c r="K54" s="82">
        <f t="shared" si="16"/>
        <v>117001814</v>
      </c>
      <c r="L54" s="82">
        <v>112632586</v>
      </c>
      <c r="M54" s="100">
        <f t="shared" si="1"/>
        <v>0.96265674992013373</v>
      </c>
    </row>
    <row r="55" spans="1:13" ht="15.75" x14ac:dyDescent="0.25">
      <c r="A55" s="99">
        <v>20406</v>
      </c>
      <c r="B55" s="57">
        <v>20</v>
      </c>
      <c r="C55" s="6" t="s">
        <v>249</v>
      </c>
      <c r="D55" s="58">
        <v>129716800</v>
      </c>
      <c r="E55" s="58">
        <v>0</v>
      </c>
      <c r="F55" s="58">
        <v>0</v>
      </c>
      <c r="G55" s="58">
        <v>0</v>
      </c>
      <c r="H55" s="58">
        <v>15863200</v>
      </c>
      <c r="I55" s="58">
        <v>0</v>
      </c>
      <c r="J55" s="82">
        <f t="shared" si="5"/>
        <v>15863200</v>
      </c>
      <c r="K55" s="82">
        <f t="shared" si="16"/>
        <v>129716800</v>
      </c>
      <c r="L55" s="82">
        <v>124114044.45999999</v>
      </c>
      <c r="M55" s="100">
        <f t="shared" si="1"/>
        <v>0.95680778788869281</v>
      </c>
    </row>
    <row r="56" spans="1:13" ht="31.5" x14ac:dyDescent="0.25">
      <c r="A56" s="99">
        <v>20407</v>
      </c>
      <c r="B56" s="57">
        <v>20</v>
      </c>
      <c r="C56" s="6" t="s">
        <v>67</v>
      </c>
      <c r="D56" s="58">
        <v>46658000</v>
      </c>
      <c r="E56" s="58">
        <f t="shared" ref="E56:I56" si="17">+E57+E58</f>
        <v>0</v>
      </c>
      <c r="F56" s="58">
        <f t="shared" si="17"/>
        <v>0</v>
      </c>
      <c r="G56" s="58">
        <f t="shared" si="17"/>
        <v>0</v>
      </c>
      <c r="H56" s="58">
        <f t="shared" si="17"/>
        <v>74234000</v>
      </c>
      <c r="I56" s="58">
        <f t="shared" si="17"/>
        <v>0</v>
      </c>
      <c r="J56" s="82">
        <f t="shared" si="5"/>
        <v>74234000</v>
      </c>
      <c r="K56" s="82">
        <f t="shared" si="16"/>
        <v>46658000</v>
      </c>
      <c r="L56" s="82">
        <v>43534958</v>
      </c>
      <c r="M56" s="100">
        <f t="shared" si="1"/>
        <v>0.93306524068755625</v>
      </c>
    </row>
    <row r="57" spans="1:13" ht="15.75" x14ac:dyDescent="0.25">
      <c r="A57" s="99">
        <v>20408</v>
      </c>
      <c r="B57" s="57">
        <v>20</v>
      </c>
      <c r="C57" s="6" t="s">
        <v>250</v>
      </c>
      <c r="D57" s="58">
        <v>419048800</v>
      </c>
      <c r="E57" s="58">
        <v>0</v>
      </c>
      <c r="F57" s="58">
        <v>0</v>
      </c>
      <c r="G57" s="58">
        <v>0</v>
      </c>
      <c r="H57" s="58">
        <v>16064000</v>
      </c>
      <c r="I57" s="58">
        <v>0</v>
      </c>
      <c r="J57" s="82">
        <f t="shared" si="5"/>
        <v>16064000</v>
      </c>
      <c r="K57" s="82">
        <f t="shared" si="16"/>
        <v>419048800</v>
      </c>
      <c r="L57" s="82">
        <v>381381690</v>
      </c>
      <c r="M57" s="100">
        <f t="shared" si="1"/>
        <v>0.91011283172747426</v>
      </c>
    </row>
    <row r="58" spans="1:13" ht="15.75" x14ac:dyDescent="0.25">
      <c r="A58" s="99">
        <v>20409</v>
      </c>
      <c r="B58" s="57">
        <v>20</v>
      </c>
      <c r="C58" s="6" t="s">
        <v>75</v>
      </c>
      <c r="D58" s="58">
        <v>169154595</v>
      </c>
      <c r="E58" s="58">
        <v>0</v>
      </c>
      <c r="F58" s="58">
        <v>0</v>
      </c>
      <c r="G58" s="58">
        <v>0</v>
      </c>
      <c r="H58" s="58">
        <f>40600000+17570000</f>
        <v>58170000</v>
      </c>
      <c r="I58" s="58">
        <v>0</v>
      </c>
      <c r="J58" s="82">
        <f t="shared" si="5"/>
        <v>58170000</v>
      </c>
      <c r="K58" s="82">
        <f t="shared" si="16"/>
        <v>169154595</v>
      </c>
      <c r="L58" s="82">
        <v>134410820</v>
      </c>
      <c r="M58" s="100">
        <f t="shared" si="1"/>
        <v>0.79460342179885801</v>
      </c>
    </row>
    <row r="59" spans="1:13" ht="15.75" x14ac:dyDescent="0.25">
      <c r="A59" s="99">
        <v>20410</v>
      </c>
      <c r="B59" s="57">
        <v>20</v>
      </c>
      <c r="C59" s="6" t="s">
        <v>79</v>
      </c>
      <c r="D59" s="58">
        <v>18572000</v>
      </c>
      <c r="E59" s="58">
        <f>SUM(E60:E65)</f>
        <v>0</v>
      </c>
      <c r="F59" s="58">
        <f>SUM(F60:F65)</f>
        <v>0</v>
      </c>
      <c r="G59" s="58">
        <f>SUM(G60:G65)</f>
        <v>0</v>
      </c>
      <c r="H59" s="58">
        <f>SUM(H60:H65)</f>
        <v>40016000</v>
      </c>
      <c r="I59" s="58">
        <f>SUM(I60:I65)</f>
        <v>7519960</v>
      </c>
      <c r="J59" s="82">
        <f t="shared" si="5"/>
        <v>32496040</v>
      </c>
      <c r="K59" s="82">
        <f t="shared" si="16"/>
        <v>18572000</v>
      </c>
      <c r="L59" s="82">
        <v>18297660</v>
      </c>
      <c r="M59" s="100">
        <f t="shared" si="1"/>
        <v>0.98522830066767175</v>
      </c>
    </row>
    <row r="60" spans="1:13" ht="31.5" x14ac:dyDescent="0.25">
      <c r="A60" s="99">
        <v>20411</v>
      </c>
      <c r="B60" s="57">
        <v>20</v>
      </c>
      <c r="C60" s="6" t="s">
        <v>81</v>
      </c>
      <c r="D60" s="58">
        <v>454401550</v>
      </c>
      <c r="E60" s="58">
        <v>0</v>
      </c>
      <c r="F60" s="58">
        <v>0</v>
      </c>
      <c r="G60" s="58">
        <v>0</v>
      </c>
      <c r="H60" s="58">
        <f>6000000+4016000</f>
        <v>10016000</v>
      </c>
      <c r="I60" s="58">
        <v>0</v>
      </c>
      <c r="J60" s="82">
        <f t="shared" si="5"/>
        <v>10016000</v>
      </c>
      <c r="K60" s="82">
        <f t="shared" si="16"/>
        <v>454401550</v>
      </c>
      <c r="L60" s="82">
        <v>378621947</v>
      </c>
      <c r="M60" s="100">
        <f t="shared" si="1"/>
        <v>0.83323207634304941</v>
      </c>
    </row>
    <row r="61" spans="1:13" ht="31.5" x14ac:dyDescent="0.25">
      <c r="A61" s="99">
        <v>20413</v>
      </c>
      <c r="B61" s="57">
        <v>20</v>
      </c>
      <c r="C61" s="6" t="s">
        <v>251</v>
      </c>
      <c r="D61" s="58">
        <v>102140352</v>
      </c>
      <c r="E61" s="58">
        <v>0</v>
      </c>
      <c r="F61" s="58">
        <v>0</v>
      </c>
      <c r="G61" s="58">
        <v>0</v>
      </c>
      <c r="H61" s="58">
        <v>0</v>
      </c>
      <c r="I61" s="58">
        <v>2911600</v>
      </c>
      <c r="J61" s="82">
        <f t="shared" si="5"/>
        <v>-2911600</v>
      </c>
      <c r="K61" s="82">
        <f t="shared" si="16"/>
        <v>102140352</v>
      </c>
      <c r="L61" s="82">
        <v>102140352</v>
      </c>
      <c r="M61" s="100">
        <f t="shared" si="1"/>
        <v>1</v>
      </c>
    </row>
    <row r="62" spans="1:13" ht="15.75" x14ac:dyDescent="0.25">
      <c r="A62" s="99">
        <v>20414</v>
      </c>
      <c r="B62" s="57">
        <v>20</v>
      </c>
      <c r="C62" s="6" t="s">
        <v>84</v>
      </c>
      <c r="D62" s="58">
        <v>56802112</v>
      </c>
      <c r="E62" s="58">
        <v>0</v>
      </c>
      <c r="F62" s="58">
        <v>0</v>
      </c>
      <c r="G62" s="58">
        <v>0</v>
      </c>
      <c r="H62" s="58">
        <v>0</v>
      </c>
      <c r="I62" s="58">
        <v>2409600</v>
      </c>
      <c r="J62" s="82">
        <f t="shared" si="5"/>
        <v>-2409600</v>
      </c>
      <c r="K62" s="82">
        <f t="shared" si="16"/>
        <v>56802112</v>
      </c>
      <c r="L62" s="82">
        <v>1183659</v>
      </c>
      <c r="M62" s="100">
        <f t="shared" si="1"/>
        <v>2.0838292069139966E-2</v>
      </c>
    </row>
    <row r="63" spans="1:13" ht="47.25" x14ac:dyDescent="0.25">
      <c r="A63" s="99">
        <v>20421</v>
      </c>
      <c r="B63" s="57">
        <v>20</v>
      </c>
      <c r="C63" s="6" t="s">
        <v>85</v>
      </c>
      <c r="D63" s="58">
        <v>184684487</v>
      </c>
      <c r="E63" s="58">
        <v>0</v>
      </c>
      <c r="F63" s="58">
        <v>0</v>
      </c>
      <c r="G63" s="58">
        <v>0</v>
      </c>
      <c r="H63" s="58">
        <v>0</v>
      </c>
      <c r="I63" s="58">
        <v>953800</v>
      </c>
      <c r="J63" s="82">
        <f t="shared" si="5"/>
        <v>-953800</v>
      </c>
      <c r="K63" s="82">
        <f t="shared" si="16"/>
        <v>184684487</v>
      </c>
      <c r="L63" s="82">
        <v>174919892</v>
      </c>
      <c r="M63" s="100">
        <f t="shared" si="1"/>
        <v>0.94712823389438228</v>
      </c>
    </row>
    <row r="64" spans="1:13" ht="31.5" x14ac:dyDescent="0.25">
      <c r="A64" s="99">
        <v>20422</v>
      </c>
      <c r="B64" s="57">
        <v>20</v>
      </c>
      <c r="C64" s="6" t="s">
        <v>141</v>
      </c>
      <c r="D64" s="58">
        <v>1004000</v>
      </c>
      <c r="E64" s="58">
        <v>0</v>
      </c>
      <c r="F64" s="58">
        <v>0</v>
      </c>
      <c r="G64" s="58">
        <v>0</v>
      </c>
      <c r="H64" s="58">
        <v>0</v>
      </c>
      <c r="I64" s="58">
        <v>240960</v>
      </c>
      <c r="J64" s="82">
        <f t="shared" si="5"/>
        <v>-240960</v>
      </c>
      <c r="K64" s="82">
        <f t="shared" si="16"/>
        <v>1004000</v>
      </c>
      <c r="L64" s="82">
        <v>103410</v>
      </c>
      <c r="M64" s="100">
        <f t="shared" si="1"/>
        <v>0.10299800796812748</v>
      </c>
    </row>
    <row r="65" spans="1:13" ht="31.5" x14ac:dyDescent="0.25">
      <c r="A65" s="99">
        <v>20441</v>
      </c>
      <c r="B65" s="57">
        <v>20</v>
      </c>
      <c r="C65" s="6" t="s">
        <v>252</v>
      </c>
      <c r="D65" s="58">
        <v>162749600</v>
      </c>
      <c r="E65" s="58">
        <v>0</v>
      </c>
      <c r="F65" s="58">
        <v>0</v>
      </c>
      <c r="G65" s="58">
        <v>0</v>
      </c>
      <c r="H65" s="58">
        <v>30000000</v>
      </c>
      <c r="I65" s="58">
        <v>1004000</v>
      </c>
      <c r="J65" s="82">
        <f t="shared" si="5"/>
        <v>28996000</v>
      </c>
      <c r="K65" s="82">
        <f t="shared" si="16"/>
        <v>162749600</v>
      </c>
      <c r="L65" s="82">
        <v>135794754</v>
      </c>
      <c r="M65" s="100">
        <f t="shared" si="1"/>
        <v>0.83437841936324264</v>
      </c>
    </row>
    <row r="66" spans="1:13" ht="31.5" x14ac:dyDescent="0.25">
      <c r="A66" s="99">
        <v>3</v>
      </c>
      <c r="B66" s="57"/>
      <c r="C66" s="6" t="s">
        <v>88</v>
      </c>
      <c r="D66" s="58">
        <v>4163541238</v>
      </c>
      <c r="E66" s="58">
        <f t="shared" ref="E66:G66" si="18">+E67+E71</f>
        <v>0</v>
      </c>
      <c r="F66" s="58">
        <f t="shared" si="18"/>
        <v>0</v>
      </c>
      <c r="G66" s="58">
        <f t="shared" si="18"/>
        <v>0</v>
      </c>
      <c r="H66" s="58">
        <f>+H67+H71</f>
        <v>3561969915</v>
      </c>
      <c r="I66" s="58">
        <f>+I67+I71</f>
        <v>3603100000</v>
      </c>
      <c r="J66" s="82">
        <f t="shared" ref="J66:J90" si="19">E66-F66-G66+H66-I66</f>
        <v>-41130085</v>
      </c>
      <c r="K66" s="82">
        <f t="shared" si="16"/>
        <v>4163541238</v>
      </c>
      <c r="L66" s="82">
        <v>4082487951</v>
      </c>
      <c r="M66" s="100">
        <f t="shared" ref="M66:M87" si="20">+L66/K66</f>
        <v>0.98053260857362501</v>
      </c>
    </row>
    <row r="67" spans="1:13" ht="31.5" x14ac:dyDescent="0.25">
      <c r="A67" s="99">
        <v>32</v>
      </c>
      <c r="B67" s="57"/>
      <c r="C67" s="6" t="s">
        <v>89</v>
      </c>
      <c r="D67" s="58">
        <f>+D68</f>
        <v>1298345000</v>
      </c>
      <c r="E67" s="58">
        <f t="shared" ref="E67:I67" si="21">+E68</f>
        <v>0</v>
      </c>
      <c r="F67" s="58">
        <f t="shared" si="21"/>
        <v>0</v>
      </c>
      <c r="G67" s="58">
        <f t="shared" si="21"/>
        <v>0</v>
      </c>
      <c r="H67" s="58">
        <f t="shared" si="21"/>
        <v>0</v>
      </c>
      <c r="I67" s="58">
        <f t="shared" si="21"/>
        <v>179100000</v>
      </c>
      <c r="J67" s="82">
        <f t="shared" si="19"/>
        <v>-179100000</v>
      </c>
      <c r="K67" s="82">
        <f t="shared" si="16"/>
        <v>1298345000</v>
      </c>
      <c r="L67" s="82">
        <f t="shared" ref="L67" si="22">+L68</f>
        <v>1238697950</v>
      </c>
      <c r="M67" s="100">
        <f t="shared" si="20"/>
        <v>0.95405916763263998</v>
      </c>
    </row>
    <row r="68" spans="1:13" ht="15.75" x14ac:dyDescent="0.25">
      <c r="A68" s="99">
        <v>321</v>
      </c>
      <c r="B68" s="57"/>
      <c r="C68" s="6" t="s">
        <v>90</v>
      </c>
      <c r="D68" s="58">
        <f>+D69</f>
        <v>1298345000</v>
      </c>
      <c r="E68" s="58">
        <f t="shared" ref="E68:I68" si="23">+E69+E70</f>
        <v>0</v>
      </c>
      <c r="F68" s="58">
        <f t="shared" si="23"/>
        <v>0</v>
      </c>
      <c r="G68" s="58">
        <f t="shared" si="23"/>
        <v>0</v>
      </c>
      <c r="H68" s="58">
        <f t="shared" si="23"/>
        <v>0</v>
      </c>
      <c r="I68" s="58">
        <f t="shared" si="23"/>
        <v>179100000</v>
      </c>
      <c r="J68" s="82">
        <f t="shared" si="19"/>
        <v>-179100000</v>
      </c>
      <c r="K68" s="82">
        <f t="shared" si="16"/>
        <v>1298345000</v>
      </c>
      <c r="L68" s="82">
        <f t="shared" ref="L68" si="24">+L69+L70</f>
        <v>1238697950</v>
      </c>
      <c r="M68" s="100">
        <f t="shared" si="20"/>
        <v>0.95405916763263998</v>
      </c>
    </row>
    <row r="69" spans="1:13" ht="47.25" x14ac:dyDescent="0.25">
      <c r="A69" s="99">
        <v>3211</v>
      </c>
      <c r="B69" s="57">
        <v>11</v>
      </c>
      <c r="C69" s="6" t="s">
        <v>91</v>
      </c>
      <c r="D69" s="58">
        <v>1298345000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82">
        <f t="shared" si="19"/>
        <v>0</v>
      </c>
      <c r="K69" s="82">
        <f t="shared" si="16"/>
        <v>1298345000</v>
      </c>
      <c r="L69" s="82">
        <v>1238697950</v>
      </c>
      <c r="M69" s="100">
        <f t="shared" si="20"/>
        <v>0.95405916763263998</v>
      </c>
    </row>
    <row r="70" spans="1:13" ht="31.5" x14ac:dyDescent="0.25">
      <c r="A70" s="99">
        <v>3211</v>
      </c>
      <c r="B70" s="57">
        <v>20</v>
      </c>
      <c r="C70" s="6" t="s">
        <v>91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179100000</v>
      </c>
      <c r="J70" s="82">
        <f t="shared" si="19"/>
        <v>-179100000</v>
      </c>
      <c r="K70" s="82">
        <v>0</v>
      </c>
      <c r="L70" s="82">
        <v>0</v>
      </c>
      <c r="M70" s="100">
        <v>0</v>
      </c>
    </row>
    <row r="71" spans="1:13" ht="31.5" x14ac:dyDescent="0.25">
      <c r="A71" s="99">
        <v>36</v>
      </c>
      <c r="B71" s="57"/>
      <c r="C71" s="6" t="s">
        <v>92</v>
      </c>
      <c r="D71" s="58">
        <v>2865196238</v>
      </c>
      <c r="E71" s="58">
        <f t="shared" ref="E71:I71" si="25">+E72+E74</f>
        <v>0</v>
      </c>
      <c r="F71" s="58">
        <f t="shared" si="25"/>
        <v>0</v>
      </c>
      <c r="G71" s="58">
        <f t="shared" si="25"/>
        <v>0</v>
      </c>
      <c r="H71" s="58">
        <f t="shared" si="25"/>
        <v>3561969915</v>
      </c>
      <c r="I71" s="58">
        <f t="shared" si="25"/>
        <v>3424000000</v>
      </c>
      <c r="J71" s="82">
        <f t="shared" si="19"/>
        <v>137969915</v>
      </c>
      <c r="K71" s="82">
        <f>+D71</f>
        <v>2865196238</v>
      </c>
      <c r="L71" s="82">
        <v>2843790001</v>
      </c>
      <c r="M71" s="100">
        <f t="shared" si="20"/>
        <v>0.99252887578306248</v>
      </c>
    </row>
    <row r="72" spans="1:13" ht="31.5" x14ac:dyDescent="0.25">
      <c r="A72" s="99">
        <v>361</v>
      </c>
      <c r="B72" s="57"/>
      <c r="C72" s="6" t="s">
        <v>93</v>
      </c>
      <c r="D72" s="58">
        <v>2865185238</v>
      </c>
      <c r="E72" s="58">
        <f t="shared" ref="E72:I72" si="26">+E73</f>
        <v>0</v>
      </c>
      <c r="F72" s="58">
        <f t="shared" si="26"/>
        <v>0</v>
      </c>
      <c r="G72" s="58">
        <f t="shared" si="26"/>
        <v>0</v>
      </c>
      <c r="H72" s="58">
        <f t="shared" si="26"/>
        <v>3561969915</v>
      </c>
      <c r="I72" s="58">
        <f t="shared" si="26"/>
        <v>0</v>
      </c>
      <c r="J72" s="82">
        <f t="shared" si="19"/>
        <v>3561969915</v>
      </c>
      <c r="K72" s="82">
        <f>+D72</f>
        <v>2865185238</v>
      </c>
      <c r="L72" s="82">
        <v>2843790001</v>
      </c>
      <c r="M72" s="100">
        <f t="shared" si="20"/>
        <v>0.99253268629328317</v>
      </c>
    </row>
    <row r="73" spans="1:13" ht="31.5" x14ac:dyDescent="0.25">
      <c r="A73" s="99">
        <v>3611</v>
      </c>
      <c r="B73" s="57">
        <v>20</v>
      </c>
      <c r="C73" s="6" t="s">
        <v>93</v>
      </c>
      <c r="D73" s="58">
        <f>+D72</f>
        <v>2865185238</v>
      </c>
      <c r="E73" s="58">
        <v>0</v>
      </c>
      <c r="F73" s="58">
        <v>0</v>
      </c>
      <c r="G73" s="58">
        <v>0</v>
      </c>
      <c r="H73" s="58">
        <v>3561969915</v>
      </c>
      <c r="I73" s="58">
        <v>0</v>
      </c>
      <c r="J73" s="82">
        <f t="shared" si="19"/>
        <v>3561969915</v>
      </c>
      <c r="K73" s="82">
        <f>+D73</f>
        <v>2865185238</v>
      </c>
      <c r="L73" s="82">
        <v>2843790001</v>
      </c>
      <c r="M73" s="100">
        <f t="shared" si="20"/>
        <v>0.99253268629328317</v>
      </c>
    </row>
    <row r="74" spans="1:13" ht="47.25" x14ac:dyDescent="0.25">
      <c r="A74" s="99">
        <v>363</v>
      </c>
      <c r="B74" s="57"/>
      <c r="C74" s="6" t="s">
        <v>94</v>
      </c>
      <c r="D74" s="58">
        <v>11000</v>
      </c>
      <c r="E74" s="58">
        <f t="shared" ref="E74:I74" si="27">+E75</f>
        <v>0</v>
      </c>
      <c r="F74" s="58">
        <f t="shared" si="27"/>
        <v>0</v>
      </c>
      <c r="G74" s="58">
        <f t="shared" si="27"/>
        <v>0</v>
      </c>
      <c r="H74" s="58">
        <f t="shared" si="27"/>
        <v>0</v>
      </c>
      <c r="I74" s="58">
        <f t="shared" si="27"/>
        <v>3424000000</v>
      </c>
      <c r="J74" s="82">
        <f t="shared" si="19"/>
        <v>-3424000000</v>
      </c>
      <c r="K74" s="82">
        <f>+D74</f>
        <v>11000</v>
      </c>
      <c r="L74" s="82">
        <v>0</v>
      </c>
      <c r="M74" s="100">
        <v>0</v>
      </c>
    </row>
    <row r="75" spans="1:13" ht="111" thickBot="1" x14ac:dyDescent="0.3">
      <c r="A75" s="101">
        <v>36326</v>
      </c>
      <c r="B75" s="62">
        <v>20</v>
      </c>
      <c r="C75" s="79" t="s">
        <v>95</v>
      </c>
      <c r="D75" s="64">
        <v>11000</v>
      </c>
      <c r="E75" s="64">
        <v>0</v>
      </c>
      <c r="F75" s="64">
        <v>0</v>
      </c>
      <c r="G75" s="64">
        <v>0</v>
      </c>
      <c r="H75" s="64">
        <v>0</v>
      </c>
      <c r="I75" s="64">
        <f>497000000+2927000000</f>
        <v>3424000000</v>
      </c>
      <c r="J75" s="83">
        <f t="shared" si="19"/>
        <v>-3424000000</v>
      </c>
      <c r="K75" s="83">
        <f>+D75</f>
        <v>11000</v>
      </c>
      <c r="L75" s="83">
        <v>0</v>
      </c>
      <c r="M75" s="102">
        <v>0</v>
      </c>
    </row>
    <row r="76" spans="1:13" ht="15.75" customHeight="1" thickBot="1" x14ac:dyDescent="0.3">
      <c r="A76" s="86" t="s">
        <v>96</v>
      </c>
      <c r="B76" s="48"/>
      <c r="C76" s="65" t="s">
        <v>97</v>
      </c>
      <c r="D76" s="66">
        <f>+D77</f>
        <v>127559000000</v>
      </c>
      <c r="E76" s="66">
        <f t="shared" ref="E76:I78" si="28">+E77</f>
        <v>0</v>
      </c>
      <c r="F76" s="66">
        <f t="shared" si="28"/>
        <v>0</v>
      </c>
      <c r="G76" s="66">
        <f t="shared" si="28"/>
        <v>0</v>
      </c>
      <c r="H76" s="66">
        <f t="shared" si="28"/>
        <v>0</v>
      </c>
      <c r="I76" s="66">
        <f t="shared" si="28"/>
        <v>0</v>
      </c>
      <c r="J76" s="84">
        <f t="shared" si="19"/>
        <v>0</v>
      </c>
      <c r="K76" s="84">
        <f t="shared" ref="K76:K84" si="29">D76+J76</f>
        <v>127559000000</v>
      </c>
      <c r="L76" s="84">
        <f t="shared" ref="L76:L78" si="30">+L77</f>
        <v>127559000000</v>
      </c>
      <c r="M76" s="103">
        <f t="shared" si="20"/>
        <v>1</v>
      </c>
    </row>
    <row r="77" spans="1:13" ht="31.5" x14ac:dyDescent="0.25">
      <c r="A77" s="97">
        <v>7</v>
      </c>
      <c r="B77" s="54"/>
      <c r="C77" s="55" t="s">
        <v>97</v>
      </c>
      <c r="D77" s="56">
        <f>+D78</f>
        <v>127559000000</v>
      </c>
      <c r="E77" s="56">
        <f t="shared" si="28"/>
        <v>0</v>
      </c>
      <c r="F77" s="56">
        <f t="shared" si="28"/>
        <v>0</v>
      </c>
      <c r="G77" s="56">
        <f t="shared" si="28"/>
        <v>0</v>
      </c>
      <c r="H77" s="56">
        <f t="shared" si="28"/>
        <v>0</v>
      </c>
      <c r="I77" s="56">
        <f t="shared" si="28"/>
        <v>0</v>
      </c>
      <c r="J77" s="81">
        <f t="shared" si="19"/>
        <v>0</v>
      </c>
      <c r="K77" s="81">
        <f t="shared" si="29"/>
        <v>127559000000</v>
      </c>
      <c r="L77" s="81">
        <f t="shared" si="30"/>
        <v>127559000000</v>
      </c>
      <c r="M77" s="98">
        <f t="shared" si="20"/>
        <v>1</v>
      </c>
    </row>
    <row r="78" spans="1:13" ht="31.5" x14ac:dyDescent="0.25">
      <c r="A78" s="99">
        <v>71</v>
      </c>
      <c r="B78" s="57"/>
      <c r="C78" s="6" t="s">
        <v>98</v>
      </c>
      <c r="D78" s="58">
        <f>+D79</f>
        <v>127559000000</v>
      </c>
      <c r="E78" s="58">
        <f t="shared" si="28"/>
        <v>0</v>
      </c>
      <c r="F78" s="58">
        <f t="shared" si="28"/>
        <v>0</v>
      </c>
      <c r="G78" s="58">
        <f t="shared" si="28"/>
        <v>0</v>
      </c>
      <c r="H78" s="58">
        <f t="shared" si="28"/>
        <v>0</v>
      </c>
      <c r="I78" s="58">
        <f t="shared" si="28"/>
        <v>0</v>
      </c>
      <c r="J78" s="82">
        <f t="shared" si="19"/>
        <v>0</v>
      </c>
      <c r="K78" s="82">
        <f t="shared" si="29"/>
        <v>127559000000</v>
      </c>
      <c r="L78" s="82">
        <f t="shared" si="30"/>
        <v>127559000000</v>
      </c>
      <c r="M78" s="100">
        <f t="shared" si="20"/>
        <v>1</v>
      </c>
    </row>
    <row r="79" spans="1:13" ht="16.5" thickBot="1" x14ac:dyDescent="0.3">
      <c r="A79" s="101">
        <v>711</v>
      </c>
      <c r="B79" s="62">
        <v>11</v>
      </c>
      <c r="C79" s="63" t="s">
        <v>99</v>
      </c>
      <c r="D79" s="64">
        <v>127559000000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83">
        <f t="shared" si="19"/>
        <v>0</v>
      </c>
      <c r="K79" s="83">
        <f t="shared" si="29"/>
        <v>127559000000</v>
      </c>
      <c r="L79" s="83">
        <f>+K79</f>
        <v>127559000000</v>
      </c>
      <c r="M79" s="102">
        <f t="shared" si="20"/>
        <v>1</v>
      </c>
    </row>
    <row r="80" spans="1:13" ht="16.5" thickBot="1" x14ac:dyDescent="0.3">
      <c r="A80" s="86" t="s">
        <v>100</v>
      </c>
      <c r="B80" s="48"/>
      <c r="C80" s="65" t="s">
        <v>201</v>
      </c>
      <c r="D80" s="66">
        <f t="shared" ref="D80:I80" si="31">+D81+D91</f>
        <v>847798725636</v>
      </c>
      <c r="E80" s="66">
        <f t="shared" si="31"/>
        <v>367003015</v>
      </c>
      <c r="F80" s="66">
        <f t="shared" si="31"/>
        <v>50000000000</v>
      </c>
      <c r="G80" s="66">
        <f t="shared" si="31"/>
        <v>0</v>
      </c>
      <c r="H80" s="66">
        <f t="shared" si="31"/>
        <v>39591700000</v>
      </c>
      <c r="I80" s="66">
        <f t="shared" si="31"/>
        <v>40365093752</v>
      </c>
      <c r="J80" s="84">
        <f t="shared" si="19"/>
        <v>-50406390737</v>
      </c>
      <c r="K80" s="84">
        <f>+K81+K91</f>
        <v>839039446607</v>
      </c>
      <c r="L80" s="84">
        <f>+L81+L91</f>
        <v>654477552456</v>
      </c>
      <c r="M80" s="103">
        <f t="shared" si="20"/>
        <v>0.78003192234006202</v>
      </c>
    </row>
    <row r="81" spans="1:13" ht="63" x14ac:dyDescent="0.25">
      <c r="A81" s="97">
        <v>113</v>
      </c>
      <c r="B81" s="54"/>
      <c r="C81" s="55" t="s">
        <v>102</v>
      </c>
      <c r="D81" s="56">
        <v>511022928546</v>
      </c>
      <c r="E81" s="56">
        <f>+E82+E84+E87</f>
        <v>0</v>
      </c>
      <c r="F81" s="56">
        <f>+F82+F84+F87</f>
        <v>50000000000</v>
      </c>
      <c r="G81" s="56">
        <f>+G82+G84+G87</f>
        <v>0</v>
      </c>
      <c r="H81" s="56">
        <f>+H82+H84+H87</f>
        <v>39591700000</v>
      </c>
      <c r="I81" s="56">
        <f>+I82+I84+I87</f>
        <v>40365093752</v>
      </c>
      <c r="J81" s="81">
        <f t="shared" si="19"/>
        <v>-50773393752</v>
      </c>
      <c r="K81" s="81">
        <f>+D81</f>
        <v>511022928546</v>
      </c>
      <c r="L81" s="81">
        <v>334461034395</v>
      </c>
      <c r="M81" s="98">
        <f t="shared" si="20"/>
        <v>0.65449320512219111</v>
      </c>
    </row>
    <row r="82" spans="1:13" ht="15.75" x14ac:dyDescent="0.25">
      <c r="A82" s="99">
        <v>113600</v>
      </c>
      <c r="B82" s="57"/>
      <c r="C82" s="6" t="s">
        <v>103</v>
      </c>
      <c r="D82" s="58">
        <v>273564320000</v>
      </c>
      <c r="E82" s="58">
        <f>SUM(E83:E83)</f>
        <v>0</v>
      </c>
      <c r="F82" s="58">
        <f>SUM(F83:F83)</f>
        <v>0</v>
      </c>
      <c r="G82" s="58">
        <f>SUM(G83:G83)</f>
        <v>0</v>
      </c>
      <c r="H82" s="58">
        <f>SUM(H83:H83)</f>
        <v>0</v>
      </c>
      <c r="I82" s="58">
        <f>SUM(I83:I83)</f>
        <v>0</v>
      </c>
      <c r="J82" s="82">
        <f t="shared" si="19"/>
        <v>0</v>
      </c>
      <c r="K82" s="82">
        <f>+D82</f>
        <v>273564320000</v>
      </c>
      <c r="L82" s="82">
        <f>+K82</f>
        <v>273564320000</v>
      </c>
      <c r="M82" s="100">
        <f t="shared" si="20"/>
        <v>1</v>
      </c>
    </row>
    <row r="83" spans="1:13" ht="47.25" x14ac:dyDescent="0.25">
      <c r="A83" s="104">
        <v>113600125</v>
      </c>
      <c r="B83" s="68">
        <v>11</v>
      </c>
      <c r="C83" s="60" t="s">
        <v>143</v>
      </c>
      <c r="D83" s="58">
        <v>273564320000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82">
        <f t="shared" si="19"/>
        <v>0</v>
      </c>
      <c r="K83" s="82">
        <f>+D83</f>
        <v>273564320000</v>
      </c>
      <c r="L83" s="82">
        <f>+K83</f>
        <v>273564320000</v>
      </c>
      <c r="M83" s="100">
        <f t="shared" si="20"/>
        <v>1</v>
      </c>
    </row>
    <row r="84" spans="1:13" ht="15.75" x14ac:dyDescent="0.25">
      <c r="A84" s="99">
        <v>113601</v>
      </c>
      <c r="B84" s="57"/>
      <c r="C84" s="60" t="s">
        <v>145</v>
      </c>
      <c r="D84" s="58">
        <v>36795637450</v>
      </c>
      <c r="E84" s="58">
        <f>SUM(E85:E86)</f>
        <v>0</v>
      </c>
      <c r="F84" s="58">
        <f>SUM(F85:F86)</f>
        <v>0</v>
      </c>
      <c r="G84" s="58">
        <f>SUM(G85:G86)</f>
        <v>0</v>
      </c>
      <c r="H84" s="58">
        <f>SUM(H85:H86)</f>
        <v>0</v>
      </c>
      <c r="I84" s="58">
        <f>SUM(I85:I86)</f>
        <v>0</v>
      </c>
      <c r="J84" s="82">
        <f t="shared" si="19"/>
        <v>0</v>
      </c>
      <c r="K84" s="82">
        <f t="shared" si="29"/>
        <v>36795637450</v>
      </c>
      <c r="L84" s="82">
        <v>34305000000</v>
      </c>
      <c r="M84" s="100">
        <f t="shared" si="20"/>
        <v>0.93231161021780318</v>
      </c>
    </row>
    <row r="85" spans="1:13" ht="31.5" x14ac:dyDescent="0.25">
      <c r="A85" s="99">
        <v>1136011</v>
      </c>
      <c r="B85" s="57">
        <v>20</v>
      </c>
      <c r="C85" s="6" t="s">
        <v>104</v>
      </c>
      <c r="D85" s="58">
        <v>2490637450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82">
        <f t="shared" si="19"/>
        <v>0</v>
      </c>
      <c r="K85" s="82">
        <f t="shared" ref="K85:K90" si="32">+D85</f>
        <v>2490637450</v>
      </c>
      <c r="L85" s="82">
        <f>+K85</f>
        <v>2490637450</v>
      </c>
      <c r="M85" s="100">
        <v>0</v>
      </c>
    </row>
    <row r="86" spans="1:13" ht="31.5" x14ac:dyDescent="0.25">
      <c r="A86" s="99">
        <v>1136013</v>
      </c>
      <c r="B86" s="57">
        <v>20</v>
      </c>
      <c r="C86" s="6" t="s">
        <v>104</v>
      </c>
      <c r="D86" s="58">
        <v>34305000000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82">
        <f t="shared" si="19"/>
        <v>0</v>
      </c>
      <c r="K86" s="82">
        <f t="shared" si="32"/>
        <v>34305000000</v>
      </c>
      <c r="L86" s="82">
        <f>+K86</f>
        <v>34305000000</v>
      </c>
      <c r="M86" s="100">
        <f t="shared" si="20"/>
        <v>1</v>
      </c>
    </row>
    <row r="87" spans="1:13" ht="15.75" x14ac:dyDescent="0.25">
      <c r="A87" s="99">
        <v>113605</v>
      </c>
      <c r="B87" s="57"/>
      <c r="C87" s="6" t="s">
        <v>105</v>
      </c>
      <c r="D87" s="58">
        <f t="shared" ref="D87:I87" si="33">SUM(D88:D90)</f>
        <v>200662971096</v>
      </c>
      <c r="E87" s="58">
        <f t="shared" si="33"/>
        <v>0</v>
      </c>
      <c r="F87" s="58">
        <f t="shared" si="33"/>
        <v>50000000000</v>
      </c>
      <c r="G87" s="58">
        <f t="shared" si="33"/>
        <v>0</v>
      </c>
      <c r="H87" s="58">
        <f t="shared" si="33"/>
        <v>39591700000</v>
      </c>
      <c r="I87" s="58">
        <f t="shared" si="33"/>
        <v>40365093752</v>
      </c>
      <c r="J87" s="82">
        <f t="shared" si="19"/>
        <v>-50773393752</v>
      </c>
      <c r="K87" s="82">
        <f t="shared" si="32"/>
        <v>200662971096</v>
      </c>
      <c r="L87" s="82">
        <f>+K87</f>
        <v>200662971096</v>
      </c>
      <c r="M87" s="100">
        <f t="shared" si="20"/>
        <v>1</v>
      </c>
    </row>
    <row r="88" spans="1:13" ht="63" x14ac:dyDescent="0.25">
      <c r="A88" s="99">
        <v>11360507</v>
      </c>
      <c r="B88" s="57">
        <v>21</v>
      </c>
      <c r="C88" s="6" t="s">
        <v>106</v>
      </c>
      <c r="D88" s="58">
        <v>60874890420</v>
      </c>
      <c r="E88" s="58">
        <v>0</v>
      </c>
      <c r="F88" s="58">
        <v>0</v>
      </c>
      <c r="G88" s="58">
        <v>0</v>
      </c>
      <c r="H88" s="58">
        <f>25100000000+14491700000</f>
        <v>39591700000</v>
      </c>
      <c r="I88" s="58">
        <v>0</v>
      </c>
      <c r="J88" s="82">
        <f t="shared" si="19"/>
        <v>39591700000</v>
      </c>
      <c r="K88" s="82">
        <f t="shared" si="32"/>
        <v>60874890420</v>
      </c>
      <c r="L88" s="82">
        <v>24405068944.639999</v>
      </c>
      <c r="M88" s="100">
        <f t="shared" ref="M88:M100" si="34">+L88/K88</f>
        <v>0.40090534498312447</v>
      </c>
    </row>
    <row r="89" spans="1:13" ht="31.5" x14ac:dyDescent="0.25">
      <c r="A89" s="99">
        <v>11360510</v>
      </c>
      <c r="B89" s="57">
        <v>20</v>
      </c>
      <c r="C89" s="6" t="s">
        <v>148</v>
      </c>
      <c r="D89" s="58">
        <v>101535785596</v>
      </c>
      <c r="E89" s="58">
        <v>0</v>
      </c>
      <c r="F89" s="58">
        <v>0</v>
      </c>
      <c r="G89" s="58">
        <v>0</v>
      </c>
      <c r="H89" s="58">
        <v>0</v>
      </c>
      <c r="I89" s="58">
        <v>773393752</v>
      </c>
      <c r="J89" s="82">
        <f t="shared" si="19"/>
        <v>-773393752</v>
      </c>
      <c r="K89" s="82">
        <f t="shared" si="32"/>
        <v>101535785596</v>
      </c>
      <c r="L89" s="82">
        <v>0</v>
      </c>
      <c r="M89" s="100">
        <v>0</v>
      </c>
    </row>
    <row r="90" spans="1:13" ht="31.5" x14ac:dyDescent="0.25">
      <c r="A90" s="99">
        <v>11360510</v>
      </c>
      <c r="B90" s="57">
        <v>21</v>
      </c>
      <c r="C90" s="6" t="s">
        <v>148</v>
      </c>
      <c r="D90" s="58">
        <v>38252295080</v>
      </c>
      <c r="E90" s="58">
        <v>0</v>
      </c>
      <c r="F90" s="58">
        <v>50000000000</v>
      </c>
      <c r="G90" s="58">
        <v>0</v>
      </c>
      <c r="H90" s="58">
        <v>0</v>
      </c>
      <c r="I90" s="58">
        <f>25100000000+14491700000</f>
        <v>39591700000</v>
      </c>
      <c r="J90" s="82">
        <f t="shared" si="19"/>
        <v>-89591700000</v>
      </c>
      <c r="K90" s="82">
        <f t="shared" si="32"/>
        <v>38252295080</v>
      </c>
      <c r="L90" s="82">
        <v>0</v>
      </c>
      <c r="M90" s="100">
        <v>0</v>
      </c>
    </row>
    <row r="91" spans="1:13" ht="63" x14ac:dyDescent="0.25">
      <c r="A91" s="99">
        <v>530</v>
      </c>
      <c r="B91" s="57"/>
      <c r="C91" s="6" t="s">
        <v>107</v>
      </c>
      <c r="D91" s="58">
        <v>336775797090</v>
      </c>
      <c r="E91" s="58">
        <f t="shared" ref="E91:I91" si="35">+E92</f>
        <v>367003015</v>
      </c>
      <c r="F91" s="58">
        <f t="shared" si="35"/>
        <v>0</v>
      </c>
      <c r="G91" s="58">
        <f t="shared" si="35"/>
        <v>0</v>
      </c>
      <c r="H91" s="58">
        <f t="shared" si="35"/>
        <v>0</v>
      </c>
      <c r="I91" s="58">
        <f t="shared" si="35"/>
        <v>0</v>
      </c>
      <c r="J91" s="82">
        <f t="shared" ref="J91:J98" si="36">E91-F91-G91+H91-I91</f>
        <v>367003015</v>
      </c>
      <c r="K91" s="82">
        <v>328016518061</v>
      </c>
      <c r="L91" s="82">
        <v>320016518061</v>
      </c>
      <c r="M91" s="100">
        <f t="shared" si="34"/>
        <v>0.97561098432697746</v>
      </c>
    </row>
    <row r="92" spans="1:13" ht="15.75" x14ac:dyDescent="0.25">
      <c r="A92" s="99">
        <v>530600</v>
      </c>
      <c r="B92" s="57"/>
      <c r="C92" s="6" t="s">
        <v>103</v>
      </c>
      <c r="D92" s="58">
        <v>336775797090</v>
      </c>
      <c r="E92" s="58">
        <f t="shared" ref="E92:I92" si="37">+E93+E94+E95+E96+E97+E98</f>
        <v>367003015</v>
      </c>
      <c r="F92" s="58">
        <f t="shared" si="37"/>
        <v>0</v>
      </c>
      <c r="G92" s="58">
        <f t="shared" si="37"/>
        <v>0</v>
      </c>
      <c r="H92" s="58">
        <f t="shared" si="37"/>
        <v>0</v>
      </c>
      <c r="I92" s="58">
        <f t="shared" si="37"/>
        <v>0</v>
      </c>
      <c r="J92" s="82">
        <f t="shared" si="36"/>
        <v>367003015</v>
      </c>
      <c r="K92" s="82">
        <f>+D92</f>
        <v>336775797090</v>
      </c>
      <c r="L92" s="82">
        <v>328016518061</v>
      </c>
      <c r="M92" s="100">
        <f t="shared" si="34"/>
        <v>0.97399077040367255</v>
      </c>
    </row>
    <row r="93" spans="1:13" ht="78.75" x14ac:dyDescent="0.25">
      <c r="A93" s="99">
        <v>530600003</v>
      </c>
      <c r="B93" s="57">
        <v>20</v>
      </c>
      <c r="C93" s="6" t="s">
        <v>149</v>
      </c>
      <c r="D93" s="58">
        <v>44826590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82">
        <f t="shared" si="36"/>
        <v>0</v>
      </c>
      <c r="K93" s="82">
        <f t="shared" ref="K93:K98" si="38">D93+J93</f>
        <v>44826590</v>
      </c>
      <c r="L93" s="82">
        <f>+K93</f>
        <v>44826590</v>
      </c>
      <c r="M93" s="100">
        <f t="shared" si="34"/>
        <v>1</v>
      </c>
    </row>
    <row r="94" spans="1:13" ht="78.75" x14ac:dyDescent="0.25">
      <c r="A94" s="99">
        <v>530600003</v>
      </c>
      <c r="B94" s="57">
        <v>11</v>
      </c>
      <c r="C94" s="6" t="s">
        <v>150</v>
      </c>
      <c r="D94" s="58">
        <v>282873055614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82">
        <f t="shared" si="36"/>
        <v>0</v>
      </c>
      <c r="K94" s="82">
        <f>+D94</f>
        <v>282873055614</v>
      </c>
      <c r="L94" s="82">
        <v>278936481537</v>
      </c>
      <c r="M94" s="100">
        <f t="shared" si="34"/>
        <v>0.98608360181758803</v>
      </c>
    </row>
    <row r="95" spans="1:13" ht="31.5" x14ac:dyDescent="0.25">
      <c r="A95" s="99">
        <v>530600004</v>
      </c>
      <c r="B95" s="57">
        <v>25</v>
      </c>
      <c r="C95" s="60" t="s">
        <v>151</v>
      </c>
      <c r="D95" s="58">
        <v>379496418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82">
        <f t="shared" si="36"/>
        <v>0</v>
      </c>
      <c r="K95" s="82">
        <f>+D95</f>
        <v>379496418</v>
      </c>
      <c r="L95" s="82">
        <f>+K95</f>
        <v>379496418</v>
      </c>
      <c r="M95" s="100">
        <f t="shared" si="34"/>
        <v>1</v>
      </c>
    </row>
    <row r="96" spans="1:13" ht="31.5" x14ac:dyDescent="0.25">
      <c r="A96" s="99">
        <v>530600004</v>
      </c>
      <c r="B96" s="57">
        <v>20</v>
      </c>
      <c r="C96" s="60" t="s">
        <v>151</v>
      </c>
      <c r="D96" s="58">
        <v>70687361</v>
      </c>
      <c r="E96" s="58">
        <v>367003015</v>
      </c>
      <c r="F96" s="58">
        <v>0</v>
      </c>
      <c r="G96" s="58">
        <v>0</v>
      </c>
      <c r="H96" s="58">
        <v>0</v>
      </c>
      <c r="I96" s="58">
        <v>0</v>
      </c>
      <c r="J96" s="82">
        <f t="shared" si="36"/>
        <v>367003015</v>
      </c>
      <c r="K96" s="82">
        <f>+D96</f>
        <v>70687361</v>
      </c>
      <c r="L96" s="82">
        <v>70480800</v>
      </c>
      <c r="M96" s="100">
        <f t="shared" si="34"/>
        <v>0.99707782272420664</v>
      </c>
    </row>
    <row r="97" spans="1:13" ht="78.75" x14ac:dyDescent="0.25">
      <c r="A97" s="99">
        <v>530600004</v>
      </c>
      <c r="B97" s="57">
        <v>11</v>
      </c>
      <c r="C97" s="6" t="s">
        <v>152</v>
      </c>
      <c r="D97" s="58">
        <v>1572680000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82">
        <f t="shared" si="36"/>
        <v>0</v>
      </c>
      <c r="K97" s="82">
        <f t="shared" si="38"/>
        <v>1572680000</v>
      </c>
      <c r="L97" s="82">
        <f>+K97</f>
        <v>1572680000</v>
      </c>
      <c r="M97" s="100">
        <f t="shared" si="34"/>
        <v>1</v>
      </c>
    </row>
    <row r="98" spans="1:13" ht="78.75" x14ac:dyDescent="0.25">
      <c r="A98" s="101">
        <v>530600101</v>
      </c>
      <c r="B98" s="62">
        <v>20</v>
      </c>
      <c r="C98" s="63" t="s">
        <v>152</v>
      </c>
      <c r="D98" s="64">
        <v>6859343176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83">
        <f t="shared" si="36"/>
        <v>0</v>
      </c>
      <c r="K98" s="83">
        <f t="shared" si="38"/>
        <v>6859343176</v>
      </c>
      <c r="L98" s="83">
        <v>6446944302</v>
      </c>
      <c r="M98" s="102">
        <f t="shared" si="34"/>
        <v>0.93987778954653656</v>
      </c>
    </row>
    <row r="99" spans="1:13" ht="79.5" thickBot="1" x14ac:dyDescent="0.3">
      <c r="A99" s="250">
        <v>530600101</v>
      </c>
      <c r="B99" s="251">
        <v>11</v>
      </c>
      <c r="C99" s="252" t="s">
        <v>152</v>
      </c>
      <c r="D99" s="253">
        <v>193944386</v>
      </c>
      <c r="E99" s="253"/>
      <c r="F99" s="253"/>
      <c r="G99" s="253"/>
      <c r="H99" s="253"/>
      <c r="I99" s="253"/>
      <c r="J99" s="254"/>
      <c r="K99" s="254">
        <v>193944386</v>
      </c>
      <c r="L99" s="254">
        <v>193944386</v>
      </c>
      <c r="M99" s="102">
        <f t="shared" si="34"/>
        <v>1</v>
      </c>
    </row>
    <row r="100" spans="1:13" ht="16.5" thickBot="1" x14ac:dyDescent="0.3">
      <c r="A100" s="258" t="s">
        <v>108</v>
      </c>
      <c r="B100" s="259"/>
      <c r="C100" s="260"/>
      <c r="D100" s="105">
        <f>+D11+D76+D80-349636938</f>
        <v>987884444210</v>
      </c>
      <c r="E100" s="105" t="e">
        <f t="shared" ref="E100:J100" si="39">+E11+E76+E80</f>
        <v>#REF!</v>
      </c>
      <c r="F100" s="105">
        <f t="shared" si="39"/>
        <v>50000000000</v>
      </c>
      <c r="G100" s="105">
        <f t="shared" si="39"/>
        <v>0</v>
      </c>
      <c r="H100" s="105">
        <f t="shared" si="39"/>
        <v>39591700000</v>
      </c>
      <c r="I100" s="105">
        <f t="shared" si="39"/>
        <v>40365093752</v>
      </c>
      <c r="J100" s="105">
        <f t="shared" si="39"/>
        <v>-50406390737</v>
      </c>
      <c r="K100" s="105">
        <f>+K11+K76+K80+349636938</f>
        <v>979824439057</v>
      </c>
      <c r="L100" s="105">
        <f>+L80+L76+L11</f>
        <v>793772929880</v>
      </c>
      <c r="M100" s="106">
        <f t="shared" si="34"/>
        <v>0.81011750497256507</v>
      </c>
    </row>
    <row r="101" spans="1:13" ht="15.75" x14ac:dyDescent="0.25">
      <c r="D101" s="255"/>
    </row>
    <row r="102" spans="1:13" x14ac:dyDescent="0.25">
      <c r="D102" s="161"/>
      <c r="K102" s="161"/>
    </row>
  </sheetData>
  <mergeCells count="9">
    <mergeCell ref="L8:L9"/>
    <mergeCell ref="M8:M9"/>
    <mergeCell ref="A100:C100"/>
    <mergeCell ref="A8:A10"/>
    <mergeCell ref="B8:B10"/>
    <mergeCell ref="C8:C10"/>
    <mergeCell ref="D8:D9"/>
    <mergeCell ref="E8:J8"/>
    <mergeCell ref="K8:K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Z154"/>
  <sheetViews>
    <sheetView showGridLines="0" zoomScaleNormal="100" workbookViewId="0">
      <pane xSplit="3" ySplit="10" topLeftCell="D152" activePane="bottomRight" state="frozen"/>
      <selection pane="topRight" activeCell="D1" sqref="D1"/>
      <selection pane="bottomLeft" activeCell="A11" sqref="A11"/>
      <selection pane="bottomRight" activeCell="A12" sqref="A12:M152"/>
    </sheetView>
  </sheetViews>
  <sheetFormatPr baseColWidth="10" defaultRowHeight="15" x14ac:dyDescent="0.25"/>
  <cols>
    <col min="1" max="1" width="15.42578125" style="1" customWidth="1"/>
    <col min="2" max="2" width="9.42578125" style="46" customWidth="1"/>
    <col min="3" max="3" width="37.7109375" style="2" customWidth="1"/>
    <col min="4" max="4" width="21.28515625" style="3" customWidth="1"/>
    <col min="5" max="5" width="13.7109375" style="3" hidden="1" customWidth="1"/>
    <col min="6" max="6" width="16.42578125" style="3" hidden="1" customWidth="1"/>
    <col min="7" max="7" width="16.7109375" style="3" hidden="1" customWidth="1"/>
    <col min="8" max="8" width="17.85546875" style="3" hidden="1" customWidth="1"/>
    <col min="9" max="9" width="17.42578125" style="3" hidden="1" customWidth="1"/>
    <col min="10" max="10" width="18.28515625" style="3" hidden="1" customWidth="1"/>
    <col min="11" max="11" width="19" style="3" bestFit="1" customWidth="1"/>
    <col min="12" max="12" width="18.7109375" style="3" customWidth="1"/>
    <col min="13" max="13" width="19.28515625" style="20" customWidth="1"/>
    <col min="14" max="14" width="29.140625" style="1" hidden="1" customWidth="1"/>
    <col min="15" max="16" width="19" style="1" hidden="1" customWidth="1"/>
    <col min="17" max="50" width="0" style="1" hidden="1" customWidth="1"/>
    <col min="51" max="51" width="14.42578125" style="1" bestFit="1" customWidth="1"/>
    <col min="52" max="52" width="13.42578125" style="1" bestFit="1" customWidth="1"/>
    <col min="53" max="16384" width="11.42578125" style="1"/>
  </cols>
  <sheetData>
    <row r="1" spans="1:16" ht="15.75" thickBot="1" x14ac:dyDescent="0.3">
      <c r="A1" s="4"/>
      <c r="B1" s="15"/>
      <c r="C1" s="11"/>
      <c r="D1" s="12"/>
      <c r="E1" s="12"/>
      <c r="F1" s="12"/>
      <c r="G1" s="12"/>
      <c r="H1" s="12"/>
      <c r="I1" s="12"/>
      <c r="J1" s="12"/>
      <c r="K1" s="12"/>
      <c r="L1" s="12"/>
      <c r="M1" s="19"/>
    </row>
    <row r="2" spans="1:16" ht="20.100000000000001" customHeight="1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6" ht="20.100000000000001" customHeight="1" x14ac:dyDescent="0.25">
      <c r="A3" s="10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6" ht="20.100000000000001" customHeight="1" x14ac:dyDescent="0.25">
      <c r="A4" s="10"/>
      <c r="B4" s="15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6" ht="20.100000000000001" customHeight="1" x14ac:dyDescent="0.25">
      <c r="A5" s="10"/>
      <c r="B5" s="15"/>
      <c r="C5" s="44" t="s">
        <v>198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6" ht="20.100000000000001" customHeight="1" x14ac:dyDescent="0.25">
      <c r="A6" s="10"/>
      <c r="B6" s="15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6" ht="20.100000000000001" customHeight="1" thickBot="1" x14ac:dyDescent="0.3">
      <c r="A7" s="10"/>
      <c r="B7" s="15"/>
      <c r="C7" s="11"/>
      <c r="D7" s="12"/>
      <c r="E7" s="12"/>
      <c r="F7" s="12"/>
      <c r="G7" s="12"/>
      <c r="H7" s="12"/>
      <c r="I7" s="12"/>
      <c r="J7" s="12"/>
      <c r="K7" s="12"/>
      <c r="L7" s="12"/>
      <c r="M7" s="43"/>
    </row>
    <row r="8" spans="1:16" ht="33.75" customHeight="1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126</v>
      </c>
    </row>
    <row r="9" spans="1:16" ht="54.75" customHeight="1" x14ac:dyDescent="0.25">
      <c r="A9" s="262"/>
      <c r="B9" s="262"/>
      <c r="C9" s="262"/>
      <c r="D9" s="257"/>
      <c r="E9" s="85" t="s">
        <v>110</v>
      </c>
      <c r="F9" s="85" t="s">
        <v>111</v>
      </c>
      <c r="G9" s="85" t="s">
        <v>112</v>
      </c>
      <c r="H9" s="85" t="s">
        <v>113</v>
      </c>
      <c r="I9" s="85" t="s">
        <v>114</v>
      </c>
      <c r="J9" s="85" t="s">
        <v>115</v>
      </c>
      <c r="K9" s="257"/>
      <c r="L9" s="257" t="s">
        <v>0</v>
      </c>
      <c r="M9" s="257" t="s">
        <v>1</v>
      </c>
    </row>
    <row r="10" spans="1:16" s="47" customFormat="1" ht="24.95" customHeight="1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6" s="21" customFormat="1" ht="24.95" customHeight="1" thickBot="1" x14ac:dyDescent="0.3">
      <c r="A11" s="86" t="s">
        <v>2</v>
      </c>
      <c r="B11" s="48"/>
      <c r="C11" s="49" t="s">
        <v>3</v>
      </c>
      <c r="D11" s="50">
        <f t="shared" ref="D11:J11" si="0">+D12+D49+D116</f>
        <v>13147300000</v>
      </c>
      <c r="E11" s="50">
        <f t="shared" si="0"/>
        <v>0</v>
      </c>
      <c r="F11" s="50">
        <f t="shared" si="0"/>
        <v>0</v>
      </c>
      <c r="G11" s="50">
        <f t="shared" si="0"/>
        <v>0</v>
      </c>
      <c r="H11" s="50">
        <f t="shared" si="0"/>
        <v>4574606374</v>
      </c>
      <c r="I11" s="50">
        <f t="shared" si="0"/>
        <v>4574606374</v>
      </c>
      <c r="J11" s="50">
        <f t="shared" si="0"/>
        <v>0</v>
      </c>
      <c r="K11" s="50">
        <f>+K12+K49+K116</f>
        <v>13147300000</v>
      </c>
      <c r="L11" s="50">
        <f>+L12+L49+L116</f>
        <v>11174860337.040001</v>
      </c>
      <c r="M11" s="51">
        <f>+L11/K11</f>
        <v>0.84997378450632455</v>
      </c>
      <c r="N11" s="52">
        <f>+K11-[1]Abril!D10</f>
        <v>-57319470939</v>
      </c>
    </row>
    <row r="12" spans="1:16" ht="15.75" x14ac:dyDescent="0.25">
      <c r="A12" s="97">
        <v>1</v>
      </c>
      <c r="B12" s="54"/>
      <c r="C12" s="55" t="s">
        <v>4</v>
      </c>
      <c r="D12" s="56">
        <f t="shared" ref="D12:L12" si="1">+D13</f>
        <v>6440300000</v>
      </c>
      <c r="E12" s="56">
        <f t="shared" si="1"/>
        <v>0</v>
      </c>
      <c r="F12" s="56">
        <f t="shared" si="1"/>
        <v>0</v>
      </c>
      <c r="G12" s="56">
        <f t="shared" si="1"/>
        <v>0</v>
      </c>
      <c r="H12" s="56">
        <f t="shared" si="1"/>
        <v>212143459</v>
      </c>
      <c r="I12" s="56">
        <f t="shared" si="1"/>
        <v>652195286</v>
      </c>
      <c r="J12" s="81">
        <f t="shared" si="1"/>
        <v>-440051827</v>
      </c>
      <c r="K12" s="81">
        <f t="shared" si="1"/>
        <v>6000248173</v>
      </c>
      <c r="L12" s="81">
        <f t="shared" si="1"/>
        <v>4640432624</v>
      </c>
      <c r="M12" s="98">
        <f t="shared" ref="M12:M74" si="2">+L12/K12</f>
        <v>0.77337344893184301</v>
      </c>
      <c r="N12" s="5">
        <f>+K12-[1]Julio!D11</f>
        <v>-39046722766</v>
      </c>
    </row>
    <row r="13" spans="1:16" ht="15.75" x14ac:dyDescent="0.25">
      <c r="A13" s="99">
        <v>10</v>
      </c>
      <c r="B13" s="57"/>
      <c r="C13" s="6" t="s">
        <v>4</v>
      </c>
      <c r="D13" s="58">
        <f t="shared" ref="D13:I13" si="3">+D14+D34+D38</f>
        <v>6440300000</v>
      </c>
      <c r="E13" s="58">
        <f t="shared" si="3"/>
        <v>0</v>
      </c>
      <c r="F13" s="58">
        <f t="shared" si="3"/>
        <v>0</v>
      </c>
      <c r="G13" s="58">
        <f t="shared" si="3"/>
        <v>0</v>
      </c>
      <c r="H13" s="58">
        <f t="shared" si="3"/>
        <v>212143459</v>
      </c>
      <c r="I13" s="58">
        <f t="shared" si="3"/>
        <v>652195286</v>
      </c>
      <c r="J13" s="82">
        <f t="shared" ref="J13:L13" si="4">+J14+J34+J38</f>
        <v>-440051827</v>
      </c>
      <c r="K13" s="82">
        <f t="shared" si="4"/>
        <v>6000248173</v>
      </c>
      <c r="L13" s="82">
        <f t="shared" si="4"/>
        <v>4640432624</v>
      </c>
      <c r="M13" s="100">
        <f t="shared" si="2"/>
        <v>0.77337344893184301</v>
      </c>
      <c r="N13" s="5">
        <f>+K13-[1]Julio!D12</f>
        <v>-39046722766</v>
      </c>
    </row>
    <row r="14" spans="1:16" ht="33.75" customHeight="1" x14ac:dyDescent="0.25">
      <c r="A14" s="99">
        <v>101</v>
      </c>
      <c r="B14" s="57"/>
      <c r="C14" s="6" t="s">
        <v>5</v>
      </c>
      <c r="D14" s="58">
        <f t="shared" ref="D14:I14" si="5">+D15+D19+D21+D30+D31</f>
        <v>4531400000</v>
      </c>
      <c r="E14" s="58">
        <f t="shared" si="5"/>
        <v>0</v>
      </c>
      <c r="F14" s="58">
        <f t="shared" si="5"/>
        <v>0</v>
      </c>
      <c r="G14" s="58">
        <f t="shared" si="5"/>
        <v>0</v>
      </c>
      <c r="H14" s="58">
        <f t="shared" si="5"/>
        <v>212143459</v>
      </c>
      <c r="I14" s="58">
        <f t="shared" si="5"/>
        <v>379843459</v>
      </c>
      <c r="J14" s="82">
        <f t="shared" ref="J14:L14" si="6">+J15+J19+J21+J30+J31</f>
        <v>-167700000</v>
      </c>
      <c r="K14" s="82">
        <f t="shared" si="6"/>
        <v>4363700000</v>
      </c>
      <c r="L14" s="82">
        <f t="shared" si="6"/>
        <v>3513202210</v>
      </c>
      <c r="M14" s="100">
        <f t="shared" si="2"/>
        <v>0.80509709879230928</v>
      </c>
      <c r="N14" s="5">
        <f>+K14-[1]Julio!D13</f>
        <v>-23515653000</v>
      </c>
      <c r="O14" s="3">
        <v>45647668331</v>
      </c>
      <c r="P14" s="7">
        <f>+O14-K13</f>
        <v>39647420158</v>
      </c>
    </row>
    <row r="15" spans="1:16" ht="15.75" x14ac:dyDescent="0.25">
      <c r="A15" s="99">
        <v>1011</v>
      </c>
      <c r="B15" s="57"/>
      <c r="C15" s="6" t="s">
        <v>6</v>
      </c>
      <c r="D15" s="58">
        <f t="shared" ref="D15:I15" si="7">+D16+D17+D18</f>
        <v>2873800000</v>
      </c>
      <c r="E15" s="58">
        <f t="shared" si="7"/>
        <v>0</v>
      </c>
      <c r="F15" s="58">
        <f t="shared" si="7"/>
        <v>0</v>
      </c>
      <c r="G15" s="58">
        <f t="shared" si="7"/>
        <v>0</v>
      </c>
      <c r="H15" s="58">
        <f t="shared" si="7"/>
        <v>14000000</v>
      </c>
      <c r="I15" s="58">
        <f t="shared" si="7"/>
        <v>169000000</v>
      </c>
      <c r="J15" s="82">
        <f t="shared" ref="J15:L15" si="8">+J16+J17+J18</f>
        <v>-155000000</v>
      </c>
      <c r="K15" s="82">
        <f t="shared" si="8"/>
        <v>2718800000</v>
      </c>
      <c r="L15" s="82">
        <f t="shared" si="8"/>
        <v>2312101537</v>
      </c>
      <c r="M15" s="100">
        <f t="shared" si="2"/>
        <v>0.85041251176989852</v>
      </c>
      <c r="N15" s="5">
        <f>+K15-[1]Julio!D14</f>
        <v>-16664174000</v>
      </c>
    </row>
    <row r="16" spans="1:16" ht="15.75" x14ac:dyDescent="0.25">
      <c r="A16" s="99">
        <v>10111</v>
      </c>
      <c r="B16" s="57">
        <v>20</v>
      </c>
      <c r="C16" s="6" t="s">
        <v>7</v>
      </c>
      <c r="D16" s="58">
        <v>2781390614</v>
      </c>
      <c r="E16" s="58">
        <v>0</v>
      </c>
      <c r="F16" s="58">
        <v>0</v>
      </c>
      <c r="G16" s="58">
        <v>0</v>
      </c>
      <c r="H16" s="58">
        <v>0</v>
      </c>
      <c r="I16" s="58">
        <f>155000000+14000000</f>
        <v>169000000</v>
      </c>
      <c r="J16" s="82">
        <f t="shared" ref="J16:J76" si="9">E16-F16-G16+H16-I16</f>
        <v>-169000000</v>
      </c>
      <c r="K16" s="82">
        <f t="shared" ref="K16:K76" si="10">D16+J16</f>
        <v>2612390614</v>
      </c>
      <c r="L16" s="82">
        <v>2231925503</v>
      </c>
      <c r="M16" s="100">
        <f t="shared" si="2"/>
        <v>0.85436132370057583</v>
      </c>
      <c r="N16" s="5">
        <f>+K16-[1]Julio!D15</f>
        <v>-14794331573</v>
      </c>
    </row>
    <row r="17" spans="1:14" ht="15.75" x14ac:dyDescent="0.25">
      <c r="A17" s="99">
        <v>10112</v>
      </c>
      <c r="B17" s="57">
        <v>20</v>
      </c>
      <c r="C17" s="6" t="s">
        <v>8</v>
      </c>
      <c r="D17" s="58">
        <v>83409386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82">
        <f t="shared" si="9"/>
        <v>0</v>
      </c>
      <c r="K17" s="82">
        <f t="shared" si="10"/>
        <v>83409386</v>
      </c>
      <c r="L17" s="82">
        <v>63855341</v>
      </c>
      <c r="M17" s="100">
        <f t="shared" si="2"/>
        <v>0.76556541250645338</v>
      </c>
      <c r="N17" s="5">
        <f>+K17-[1]Julio!D16</f>
        <v>-1156620855</v>
      </c>
    </row>
    <row r="18" spans="1:14" ht="40.5" customHeight="1" x14ac:dyDescent="0.25">
      <c r="A18" s="99">
        <v>10114</v>
      </c>
      <c r="B18" s="57">
        <v>20</v>
      </c>
      <c r="C18" s="6" t="s">
        <v>9</v>
      </c>
      <c r="D18" s="58">
        <v>9000000</v>
      </c>
      <c r="E18" s="58">
        <v>0</v>
      </c>
      <c r="F18" s="58">
        <v>0</v>
      </c>
      <c r="G18" s="58">
        <v>0</v>
      </c>
      <c r="H18" s="58">
        <v>14000000</v>
      </c>
      <c r="I18" s="58">
        <v>0</v>
      </c>
      <c r="J18" s="82">
        <f t="shared" si="9"/>
        <v>14000000</v>
      </c>
      <c r="K18" s="82">
        <f t="shared" si="10"/>
        <v>23000000</v>
      </c>
      <c r="L18" s="82">
        <v>16320693</v>
      </c>
      <c r="M18" s="100">
        <f t="shared" si="2"/>
        <v>0.70959534782608691</v>
      </c>
      <c r="N18" s="5">
        <f>+K18-[1]Julio!D17</f>
        <v>-713221572</v>
      </c>
    </row>
    <row r="19" spans="1:14" ht="15.75" x14ac:dyDescent="0.25">
      <c r="A19" s="99">
        <v>1014</v>
      </c>
      <c r="B19" s="57"/>
      <c r="C19" s="6" t="s">
        <v>10</v>
      </c>
      <c r="D19" s="58">
        <f>+D20</f>
        <v>829600000</v>
      </c>
      <c r="E19" s="58">
        <f t="shared" ref="E19:H19" si="11">+E20</f>
        <v>0</v>
      </c>
      <c r="F19" s="58">
        <f t="shared" si="11"/>
        <v>0</v>
      </c>
      <c r="G19" s="58">
        <f t="shared" si="11"/>
        <v>0</v>
      </c>
      <c r="H19" s="58">
        <f t="shared" si="11"/>
        <v>0</v>
      </c>
      <c r="I19" s="58">
        <f>+I20</f>
        <v>39636000</v>
      </c>
      <c r="J19" s="82">
        <f t="shared" si="9"/>
        <v>-39636000</v>
      </c>
      <c r="K19" s="82">
        <f t="shared" si="10"/>
        <v>789964000</v>
      </c>
      <c r="L19" s="82">
        <f>+L20</f>
        <v>590332059</v>
      </c>
      <c r="M19" s="100">
        <f t="shared" si="2"/>
        <v>0.74728982459960203</v>
      </c>
      <c r="N19" s="5">
        <f>+K19-[1]Julio!D18</f>
        <v>-3146180000</v>
      </c>
    </row>
    <row r="20" spans="1:14" ht="15.75" x14ac:dyDescent="0.25">
      <c r="A20" s="99">
        <v>10142</v>
      </c>
      <c r="B20" s="57">
        <v>20</v>
      </c>
      <c r="C20" s="6" t="s">
        <v>11</v>
      </c>
      <c r="D20" s="58">
        <v>829600000</v>
      </c>
      <c r="E20" s="58">
        <v>0</v>
      </c>
      <c r="F20" s="58">
        <v>0</v>
      </c>
      <c r="G20" s="58">
        <v>0</v>
      </c>
      <c r="H20" s="58">
        <v>0</v>
      </c>
      <c r="I20" s="58">
        <f>31661000+7975000</f>
        <v>39636000</v>
      </c>
      <c r="J20" s="82">
        <f t="shared" si="9"/>
        <v>-39636000</v>
      </c>
      <c r="K20" s="82">
        <f t="shared" si="10"/>
        <v>789964000</v>
      </c>
      <c r="L20" s="82">
        <v>590332059</v>
      </c>
      <c r="M20" s="100">
        <f t="shared" si="2"/>
        <v>0.74728982459960203</v>
      </c>
      <c r="N20" s="5">
        <f>+K20-[1]Julio!D20</f>
        <v>-2781904656</v>
      </c>
    </row>
    <row r="21" spans="1:14" ht="15.75" customHeight="1" x14ac:dyDescent="0.25">
      <c r="A21" s="99">
        <v>1015</v>
      </c>
      <c r="B21" s="57"/>
      <c r="C21" s="6" t="s">
        <v>12</v>
      </c>
      <c r="D21" s="58">
        <f>SUM(D22:D29)</f>
        <v>655300000</v>
      </c>
      <c r="E21" s="58">
        <f t="shared" ref="E21:I21" si="12">SUM(E22:E29)</f>
        <v>0</v>
      </c>
      <c r="F21" s="58">
        <f t="shared" si="12"/>
        <v>0</v>
      </c>
      <c r="G21" s="58">
        <f t="shared" si="12"/>
        <v>0</v>
      </c>
      <c r="H21" s="58">
        <f t="shared" si="12"/>
        <v>65874459</v>
      </c>
      <c r="I21" s="58">
        <f t="shared" si="12"/>
        <v>3507459</v>
      </c>
      <c r="J21" s="82">
        <f>E21-F21-G21+H21-I21</f>
        <v>62367000</v>
      </c>
      <c r="K21" s="82">
        <f t="shared" si="10"/>
        <v>717667000</v>
      </c>
      <c r="L21" s="82">
        <f>SUM(L22:L29)</f>
        <v>478781677</v>
      </c>
      <c r="M21" s="100">
        <f t="shared" si="2"/>
        <v>0.66713625818102262</v>
      </c>
      <c r="N21" s="5">
        <f>+K21-[1]Julio!D21</f>
        <v>-3380966000</v>
      </c>
    </row>
    <row r="22" spans="1:14" ht="31.5" x14ac:dyDescent="0.25">
      <c r="A22" s="99">
        <v>10152</v>
      </c>
      <c r="B22" s="78">
        <v>20</v>
      </c>
      <c r="C22" s="6" t="s">
        <v>13</v>
      </c>
      <c r="D22" s="58">
        <v>87955304</v>
      </c>
      <c r="E22" s="58">
        <v>0</v>
      </c>
      <c r="F22" s="58">
        <v>0</v>
      </c>
      <c r="G22" s="58">
        <v>0</v>
      </c>
      <c r="H22" s="58">
        <v>13022000</v>
      </c>
      <c r="I22" s="58">
        <v>0</v>
      </c>
      <c r="J22" s="82">
        <f t="shared" si="9"/>
        <v>13022000</v>
      </c>
      <c r="K22" s="82">
        <f t="shared" si="10"/>
        <v>100977304</v>
      </c>
      <c r="L22" s="82">
        <v>49943100</v>
      </c>
      <c r="M22" s="100">
        <f t="shared" si="2"/>
        <v>0.49459728098900324</v>
      </c>
      <c r="N22" s="5">
        <f>+K22-[1]Julio!D22</f>
        <v>-465532906</v>
      </c>
    </row>
    <row r="23" spans="1:14" ht="31.5" x14ac:dyDescent="0.25">
      <c r="A23" s="99">
        <v>10155</v>
      </c>
      <c r="B23" s="78">
        <v>20</v>
      </c>
      <c r="C23" s="6" t="s">
        <v>14</v>
      </c>
      <c r="D23" s="58">
        <v>16506769</v>
      </c>
      <c r="E23" s="58">
        <v>0</v>
      </c>
      <c r="F23" s="58">
        <v>0</v>
      </c>
      <c r="G23" s="58">
        <v>0</v>
      </c>
      <c r="H23" s="58">
        <v>51000</v>
      </c>
      <c r="I23" s="58">
        <v>0</v>
      </c>
      <c r="J23" s="82">
        <f t="shared" si="9"/>
        <v>51000</v>
      </c>
      <c r="K23" s="82">
        <f t="shared" si="10"/>
        <v>16557769</v>
      </c>
      <c r="L23" s="82">
        <v>12885669</v>
      </c>
      <c r="M23" s="100">
        <f t="shared" si="2"/>
        <v>0.77822495289069438</v>
      </c>
      <c r="N23" s="5">
        <f>+K23-[1]Julio!D23</f>
        <v>-82425550</v>
      </c>
    </row>
    <row r="24" spans="1:14" ht="15.75" x14ac:dyDescent="0.25">
      <c r="A24" s="99">
        <v>101512</v>
      </c>
      <c r="B24" s="78">
        <v>20</v>
      </c>
      <c r="C24" s="6" t="s">
        <v>15</v>
      </c>
      <c r="D24" s="58">
        <v>4160772</v>
      </c>
      <c r="E24" s="58">
        <v>0</v>
      </c>
      <c r="F24" s="58">
        <v>0</v>
      </c>
      <c r="G24" s="58">
        <v>0</v>
      </c>
      <c r="H24" s="58">
        <v>290000</v>
      </c>
      <c r="I24" s="58">
        <v>0</v>
      </c>
      <c r="J24" s="82">
        <f t="shared" si="9"/>
        <v>290000</v>
      </c>
      <c r="K24" s="82">
        <f t="shared" si="10"/>
        <v>4450772</v>
      </c>
      <c r="L24" s="82">
        <v>4308233</v>
      </c>
      <c r="M24" s="100">
        <f t="shared" si="2"/>
        <v>0.96797431996067196</v>
      </c>
      <c r="N24" s="5">
        <f>+K24-[1]Julio!D24</f>
        <v>2581172</v>
      </c>
    </row>
    <row r="25" spans="1:14" ht="15.75" x14ac:dyDescent="0.25">
      <c r="A25" s="99">
        <v>101513</v>
      </c>
      <c r="B25" s="78">
        <v>20</v>
      </c>
      <c r="C25" s="6" t="s">
        <v>130</v>
      </c>
      <c r="D25" s="58">
        <v>713317</v>
      </c>
      <c r="E25" s="58">
        <v>0</v>
      </c>
      <c r="F25" s="58">
        <v>0</v>
      </c>
      <c r="G25" s="58">
        <v>0</v>
      </c>
      <c r="H25" s="58">
        <v>3507459</v>
      </c>
      <c r="I25" s="58">
        <v>0</v>
      </c>
      <c r="J25" s="82">
        <f t="shared" si="9"/>
        <v>3507459</v>
      </c>
      <c r="K25" s="82">
        <f t="shared" si="10"/>
        <v>4220776</v>
      </c>
      <c r="L25" s="82">
        <v>1687884</v>
      </c>
      <c r="M25" s="100">
        <f t="shared" si="2"/>
        <v>0.39989897592291085</v>
      </c>
      <c r="N25" s="5"/>
    </row>
    <row r="26" spans="1:14" ht="15.75" x14ac:dyDescent="0.25">
      <c r="A26" s="99">
        <v>101514</v>
      </c>
      <c r="B26" s="78">
        <v>20</v>
      </c>
      <c r="C26" s="6" t="s">
        <v>16</v>
      </c>
      <c r="D26" s="58">
        <v>120535816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82">
        <f t="shared" si="9"/>
        <v>0</v>
      </c>
      <c r="K26" s="82">
        <f t="shared" si="10"/>
        <v>120535816</v>
      </c>
      <c r="L26" s="82">
        <v>85051205</v>
      </c>
      <c r="M26" s="100">
        <f t="shared" si="2"/>
        <v>0.70560940160723684</v>
      </c>
      <c r="N26" s="5">
        <f>+K26-[1]Julio!D25</f>
        <v>-728670635</v>
      </c>
    </row>
    <row r="27" spans="1:14" ht="15.75" x14ac:dyDescent="0.25">
      <c r="A27" s="99">
        <v>101515</v>
      </c>
      <c r="B27" s="78">
        <v>20</v>
      </c>
      <c r="C27" s="6" t="s">
        <v>17</v>
      </c>
      <c r="D27" s="58">
        <v>125855208</v>
      </c>
      <c r="E27" s="58">
        <v>0</v>
      </c>
      <c r="F27" s="58">
        <v>0</v>
      </c>
      <c r="G27" s="58">
        <v>0</v>
      </c>
      <c r="H27" s="58">
        <v>48948000</v>
      </c>
      <c r="I27" s="58">
        <v>0</v>
      </c>
      <c r="J27" s="82">
        <f t="shared" si="9"/>
        <v>48948000</v>
      </c>
      <c r="K27" s="82">
        <f t="shared" si="10"/>
        <v>174803208</v>
      </c>
      <c r="L27" s="82">
        <v>102872820</v>
      </c>
      <c r="M27" s="100">
        <f t="shared" si="2"/>
        <v>0.58850647637999876</v>
      </c>
      <c r="N27" s="5">
        <f>+K27-[1]Julio!D26</f>
        <v>-539302349</v>
      </c>
    </row>
    <row r="28" spans="1:14" ht="15.75" x14ac:dyDescent="0.25">
      <c r="A28" s="99">
        <v>101516</v>
      </c>
      <c r="B28" s="78">
        <v>20</v>
      </c>
      <c r="C28" s="6" t="s">
        <v>18</v>
      </c>
      <c r="D28" s="58">
        <v>269922105</v>
      </c>
      <c r="E28" s="58">
        <v>0</v>
      </c>
      <c r="F28" s="58">
        <v>0</v>
      </c>
      <c r="G28" s="58">
        <v>0</v>
      </c>
      <c r="H28" s="58">
        <v>0</v>
      </c>
      <c r="I28" s="58">
        <v>3507459</v>
      </c>
      <c r="J28" s="82">
        <f t="shared" si="9"/>
        <v>-3507459</v>
      </c>
      <c r="K28" s="82">
        <f t="shared" si="10"/>
        <v>266414646</v>
      </c>
      <c r="L28" s="82">
        <v>204510691</v>
      </c>
      <c r="M28" s="100">
        <f t="shared" si="2"/>
        <v>0.7676405710818166</v>
      </c>
      <c r="N28" s="5">
        <f>+K28-[1]Julio!D27</f>
        <v>-1542202837</v>
      </c>
    </row>
    <row r="29" spans="1:14" ht="15.75" x14ac:dyDescent="0.25">
      <c r="A29" s="99">
        <v>101592</v>
      </c>
      <c r="B29" s="78">
        <v>20</v>
      </c>
      <c r="C29" s="6" t="s">
        <v>19</v>
      </c>
      <c r="D29" s="58">
        <v>29650709</v>
      </c>
      <c r="E29" s="58">
        <v>0</v>
      </c>
      <c r="F29" s="58">
        <v>0</v>
      </c>
      <c r="G29" s="58">
        <v>0</v>
      </c>
      <c r="H29" s="58">
        <v>56000</v>
      </c>
      <c r="I29" s="58">
        <v>0</v>
      </c>
      <c r="J29" s="82">
        <f t="shared" si="9"/>
        <v>56000</v>
      </c>
      <c r="K29" s="82">
        <f t="shared" si="10"/>
        <v>29706709</v>
      </c>
      <c r="L29" s="82">
        <v>17522075</v>
      </c>
      <c r="M29" s="100">
        <f t="shared" si="2"/>
        <v>0.58983561592096923</v>
      </c>
      <c r="N29" s="5">
        <f>+K29-[1]Julio!D29</f>
        <v>-26961671</v>
      </c>
    </row>
    <row r="30" spans="1:14" ht="31.5" x14ac:dyDescent="0.25">
      <c r="A30" s="99">
        <v>10108</v>
      </c>
      <c r="B30" s="57">
        <v>20</v>
      </c>
      <c r="C30" s="6" t="s">
        <v>23</v>
      </c>
      <c r="D30" s="58">
        <v>167700000</v>
      </c>
      <c r="E30" s="58">
        <v>0</v>
      </c>
      <c r="F30" s="58">
        <v>0</v>
      </c>
      <c r="G30" s="58">
        <v>0</v>
      </c>
      <c r="H30" s="58">
        <v>0</v>
      </c>
      <c r="I30" s="58">
        <v>167700000</v>
      </c>
      <c r="J30" s="82">
        <f t="shared" si="9"/>
        <v>-167700000</v>
      </c>
      <c r="K30" s="82">
        <f t="shared" si="10"/>
        <v>0</v>
      </c>
      <c r="L30" s="82">
        <v>0</v>
      </c>
      <c r="M30" s="100" t="s">
        <v>155</v>
      </c>
      <c r="N30" s="5"/>
    </row>
    <row r="31" spans="1:14" ht="31.5" x14ac:dyDescent="0.25">
      <c r="A31" s="99">
        <v>1019</v>
      </c>
      <c r="B31" s="57"/>
      <c r="C31" s="6" t="s">
        <v>20</v>
      </c>
      <c r="D31" s="58">
        <f>+D32+D33</f>
        <v>5000000</v>
      </c>
      <c r="E31" s="58">
        <f t="shared" ref="E31:I31" si="13">+E32+E33</f>
        <v>0</v>
      </c>
      <c r="F31" s="58">
        <f t="shared" si="13"/>
        <v>0</v>
      </c>
      <c r="G31" s="58">
        <f t="shared" si="13"/>
        <v>0</v>
      </c>
      <c r="H31" s="58">
        <f t="shared" si="13"/>
        <v>132269000</v>
      </c>
      <c r="I31" s="58">
        <f t="shared" si="13"/>
        <v>0</v>
      </c>
      <c r="J31" s="82">
        <f t="shared" si="9"/>
        <v>132269000</v>
      </c>
      <c r="K31" s="82">
        <f t="shared" si="10"/>
        <v>137269000</v>
      </c>
      <c r="L31" s="82">
        <f t="shared" ref="L31" si="14">+L32+L33</f>
        <v>131986937</v>
      </c>
      <c r="M31" s="100">
        <f t="shared" si="2"/>
        <v>0.96152035055256468</v>
      </c>
      <c r="N31" s="5">
        <f>+K31-[1]Julio!D31</f>
        <v>-324333000</v>
      </c>
    </row>
    <row r="32" spans="1:14" ht="15.75" x14ac:dyDescent="0.25">
      <c r="A32" s="99">
        <v>10191</v>
      </c>
      <c r="B32" s="57">
        <v>20</v>
      </c>
      <c r="C32" s="6" t="s">
        <v>21</v>
      </c>
      <c r="D32" s="58">
        <v>5000000</v>
      </c>
      <c r="E32" s="58">
        <v>0</v>
      </c>
      <c r="F32" s="58">
        <v>0</v>
      </c>
      <c r="G32" s="58">
        <v>0</v>
      </c>
      <c r="H32" s="58">
        <v>31661000</v>
      </c>
      <c r="I32" s="58">
        <v>0</v>
      </c>
      <c r="J32" s="82">
        <f t="shared" si="9"/>
        <v>31661000</v>
      </c>
      <c r="K32" s="82">
        <f t="shared" si="10"/>
        <v>36661000</v>
      </c>
      <c r="L32" s="82">
        <v>36646471</v>
      </c>
      <c r="M32" s="100">
        <f t="shared" si="2"/>
        <v>0.99960369329805521</v>
      </c>
      <c r="N32" s="5">
        <f>+K32-[1]Julio!D32</f>
        <v>-74281000</v>
      </c>
    </row>
    <row r="33" spans="1:16" ht="15.75" x14ac:dyDescent="0.25">
      <c r="A33" s="99">
        <v>10193</v>
      </c>
      <c r="B33" s="57">
        <v>20</v>
      </c>
      <c r="C33" s="6" t="s">
        <v>22</v>
      </c>
      <c r="D33" s="58">
        <v>0</v>
      </c>
      <c r="E33" s="58">
        <v>0</v>
      </c>
      <c r="F33" s="58">
        <v>0</v>
      </c>
      <c r="G33" s="58">
        <v>0</v>
      </c>
      <c r="H33" s="58">
        <v>100608000</v>
      </c>
      <c r="I33" s="58">
        <v>0</v>
      </c>
      <c r="J33" s="82">
        <f t="shared" si="9"/>
        <v>100608000</v>
      </c>
      <c r="K33" s="82">
        <f t="shared" si="10"/>
        <v>100608000</v>
      </c>
      <c r="L33" s="82">
        <v>95340466</v>
      </c>
      <c r="M33" s="100">
        <f t="shared" si="2"/>
        <v>0.94764299061704838</v>
      </c>
      <c r="N33" s="5">
        <f>+K33-[1]Julio!D33</f>
        <v>-250052000</v>
      </c>
    </row>
    <row r="34" spans="1:16" ht="15.75" x14ac:dyDescent="0.25">
      <c r="A34" s="99">
        <v>102</v>
      </c>
      <c r="B34" s="57"/>
      <c r="C34" s="6" t="s">
        <v>24</v>
      </c>
      <c r="D34" s="58">
        <f>+D35+D36+D37</f>
        <v>683000000</v>
      </c>
      <c r="E34" s="58">
        <f t="shared" ref="E34:I34" si="15">+E35+E36+E37</f>
        <v>0</v>
      </c>
      <c r="F34" s="58">
        <f t="shared" si="15"/>
        <v>0</v>
      </c>
      <c r="G34" s="58">
        <f t="shared" si="15"/>
        <v>0</v>
      </c>
      <c r="H34" s="58">
        <f t="shared" si="15"/>
        <v>0</v>
      </c>
      <c r="I34" s="58">
        <f t="shared" si="15"/>
        <v>272351827</v>
      </c>
      <c r="J34" s="82">
        <f t="shared" si="9"/>
        <v>-272351827</v>
      </c>
      <c r="K34" s="82">
        <f t="shared" si="10"/>
        <v>410648173</v>
      </c>
      <c r="L34" s="82">
        <f t="shared" ref="L34" si="16">+L35+L36+L37</f>
        <v>162527250</v>
      </c>
      <c r="M34" s="100">
        <f t="shared" si="2"/>
        <v>0.39578223083924446</v>
      </c>
      <c r="N34" s="5">
        <f>+K34-[1]Julio!D34</f>
        <v>-8627277766</v>
      </c>
    </row>
    <row r="35" spans="1:16" ht="15.75" x14ac:dyDescent="0.25">
      <c r="A35" s="99">
        <v>10212</v>
      </c>
      <c r="B35" s="57">
        <v>20</v>
      </c>
      <c r="C35" s="6" t="s">
        <v>25</v>
      </c>
      <c r="D35" s="58">
        <v>500000000</v>
      </c>
      <c r="E35" s="58">
        <v>0</v>
      </c>
      <c r="F35" s="58">
        <v>0</v>
      </c>
      <c r="G35" s="58">
        <v>0</v>
      </c>
      <c r="H35" s="58">
        <v>0</v>
      </c>
      <c r="I35" s="58">
        <v>272351827</v>
      </c>
      <c r="J35" s="82">
        <f t="shared" si="9"/>
        <v>-272351827</v>
      </c>
      <c r="K35" s="82">
        <f t="shared" si="10"/>
        <v>227648173</v>
      </c>
      <c r="L35" s="82">
        <v>147948797</v>
      </c>
      <c r="M35" s="100">
        <f t="shared" si="2"/>
        <v>0.64990109540655083</v>
      </c>
      <c r="N35" s="5">
        <f>+K35-[1]Julio!D35</f>
        <v>-218021258</v>
      </c>
    </row>
    <row r="36" spans="1:16" ht="15.75" x14ac:dyDescent="0.25">
      <c r="A36" s="99">
        <v>10214</v>
      </c>
      <c r="B36" s="57">
        <v>20</v>
      </c>
      <c r="C36" s="6" t="s">
        <v>26</v>
      </c>
      <c r="D36" s="58">
        <v>183000000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82">
        <f t="shared" si="9"/>
        <v>0</v>
      </c>
      <c r="K36" s="82">
        <f t="shared" si="10"/>
        <v>183000000</v>
      </c>
      <c r="L36" s="82">
        <v>14578453</v>
      </c>
      <c r="M36" s="100">
        <f t="shared" si="2"/>
        <v>7.966367759562841E-2</v>
      </c>
      <c r="N36" s="5">
        <f>+K36-[1]Julio!D36</f>
        <v>-8409256508</v>
      </c>
      <c r="P36" s="7">
        <f>+M36-5329252337</f>
        <v>-5329252336.9203367</v>
      </c>
    </row>
    <row r="37" spans="1:16" ht="15.75" x14ac:dyDescent="0.25">
      <c r="A37" s="99">
        <v>10214</v>
      </c>
      <c r="B37" s="57">
        <v>21</v>
      </c>
      <c r="C37" s="6" t="s">
        <v>26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82">
        <f t="shared" si="9"/>
        <v>0</v>
      </c>
      <c r="K37" s="82">
        <f t="shared" si="10"/>
        <v>0</v>
      </c>
      <c r="L37" s="82">
        <v>0</v>
      </c>
      <c r="M37" s="100" t="s">
        <v>155</v>
      </c>
      <c r="N37" s="5"/>
    </row>
    <row r="38" spans="1:16" ht="31.5" customHeight="1" x14ac:dyDescent="0.25">
      <c r="A38" s="99">
        <v>105</v>
      </c>
      <c r="B38" s="57"/>
      <c r="C38" s="6" t="s">
        <v>27</v>
      </c>
      <c r="D38" s="58">
        <f>+D39+D43+D47+D48</f>
        <v>1225900000</v>
      </c>
      <c r="E38" s="58">
        <f t="shared" ref="E38:I38" si="17">+E39+E43+E47+E48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82">
        <f t="shared" si="9"/>
        <v>0</v>
      </c>
      <c r="K38" s="82">
        <f t="shared" si="10"/>
        <v>1225900000</v>
      </c>
      <c r="L38" s="82">
        <f t="shared" ref="L38" si="18">+L39+L43+L47+L48</f>
        <v>964703164</v>
      </c>
      <c r="M38" s="100">
        <f t="shared" si="2"/>
        <v>0.78693463088343263</v>
      </c>
      <c r="N38" s="5">
        <f>+K38-8124200000</f>
        <v>-6898300000</v>
      </c>
    </row>
    <row r="39" spans="1:16" ht="31.5" x14ac:dyDescent="0.25">
      <c r="A39" s="99">
        <v>1051</v>
      </c>
      <c r="B39" s="57"/>
      <c r="C39" s="6" t="s">
        <v>28</v>
      </c>
      <c r="D39" s="58">
        <f>+D40+D41+D42</f>
        <v>628425894</v>
      </c>
      <c r="E39" s="58">
        <f t="shared" ref="E39:I39" si="19">+E40+E41+E42</f>
        <v>0</v>
      </c>
      <c r="F39" s="58">
        <f t="shared" si="19"/>
        <v>0</v>
      </c>
      <c r="G39" s="58">
        <f t="shared" si="19"/>
        <v>0</v>
      </c>
      <c r="H39" s="58">
        <f t="shared" si="19"/>
        <v>0</v>
      </c>
      <c r="I39" s="58">
        <f t="shared" si="19"/>
        <v>0</v>
      </c>
      <c r="J39" s="82">
        <f t="shared" si="9"/>
        <v>0</v>
      </c>
      <c r="K39" s="82">
        <f t="shared" si="10"/>
        <v>628425894</v>
      </c>
      <c r="L39" s="82">
        <f t="shared" ref="L39" si="20">+L40+L41+L42</f>
        <v>480061943</v>
      </c>
      <c r="M39" s="100">
        <f t="shared" si="2"/>
        <v>0.76391177954866385</v>
      </c>
      <c r="N39" s="5">
        <f>+K39-[1]Julio!D38</f>
        <v>-3539456132</v>
      </c>
    </row>
    <row r="40" spans="1:16" ht="15.75" x14ac:dyDescent="0.25">
      <c r="A40" s="99">
        <v>10511</v>
      </c>
      <c r="B40" s="57">
        <v>20</v>
      </c>
      <c r="C40" s="6" t="s">
        <v>29</v>
      </c>
      <c r="D40" s="58">
        <v>131846842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82">
        <f t="shared" si="9"/>
        <v>0</v>
      </c>
      <c r="K40" s="82">
        <f t="shared" si="10"/>
        <v>131846842</v>
      </c>
      <c r="L40" s="82">
        <v>99905201</v>
      </c>
      <c r="M40" s="100">
        <f t="shared" si="2"/>
        <v>0.7577367761299888</v>
      </c>
      <c r="N40" s="5">
        <f>+K40-[1]Julio!D39</f>
        <v>-756298597</v>
      </c>
    </row>
    <row r="41" spans="1:16" ht="31.5" x14ac:dyDescent="0.25">
      <c r="A41" s="99">
        <v>10513</v>
      </c>
      <c r="B41" s="57">
        <v>20</v>
      </c>
      <c r="C41" s="6" t="s">
        <v>30</v>
      </c>
      <c r="D41" s="58">
        <v>254467319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82">
        <f t="shared" si="9"/>
        <v>0</v>
      </c>
      <c r="K41" s="82">
        <f t="shared" si="10"/>
        <v>254467319</v>
      </c>
      <c r="L41" s="82">
        <v>176454622</v>
      </c>
      <c r="M41" s="100">
        <f t="shared" si="2"/>
        <v>0.69342744165902104</v>
      </c>
      <c r="N41" s="5">
        <f>+K41-[1]Julio!D40</f>
        <v>-1460183906</v>
      </c>
    </row>
    <row r="42" spans="1:16" ht="31.5" x14ac:dyDescent="0.25">
      <c r="A42" s="99">
        <v>10514</v>
      </c>
      <c r="B42" s="57">
        <v>20</v>
      </c>
      <c r="C42" s="6" t="s">
        <v>31</v>
      </c>
      <c r="D42" s="58">
        <v>242111733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82">
        <f t="shared" si="9"/>
        <v>0</v>
      </c>
      <c r="K42" s="82">
        <f t="shared" si="10"/>
        <v>242111733</v>
      </c>
      <c r="L42" s="82">
        <v>203702120</v>
      </c>
      <c r="M42" s="100">
        <f t="shared" si="2"/>
        <v>0.84135583796758828</v>
      </c>
      <c r="N42" s="5">
        <f>+K42-[1]Julio!D41</f>
        <v>-1322973629</v>
      </c>
    </row>
    <row r="43" spans="1:16" ht="31.5" x14ac:dyDescent="0.25">
      <c r="A43" s="99">
        <v>1052</v>
      </c>
      <c r="B43" s="57"/>
      <c r="C43" s="6" t="s">
        <v>32</v>
      </c>
      <c r="D43" s="58">
        <f>+D44+D45+D46</f>
        <v>429908525</v>
      </c>
      <c r="E43" s="58">
        <f t="shared" ref="E43:I43" si="21">+E44+E45+E46</f>
        <v>0</v>
      </c>
      <c r="F43" s="58">
        <f t="shared" si="21"/>
        <v>0</v>
      </c>
      <c r="G43" s="58">
        <f t="shared" si="21"/>
        <v>0</v>
      </c>
      <c r="H43" s="58">
        <f t="shared" si="21"/>
        <v>0</v>
      </c>
      <c r="I43" s="58">
        <f t="shared" si="21"/>
        <v>0</v>
      </c>
      <c r="J43" s="82">
        <f t="shared" si="9"/>
        <v>0</v>
      </c>
      <c r="K43" s="82">
        <f t="shared" si="10"/>
        <v>429908525</v>
      </c>
      <c r="L43" s="82">
        <f t="shared" ref="L43" si="22">+L44+L45+L46</f>
        <v>359769037</v>
      </c>
      <c r="M43" s="100">
        <f t="shared" si="2"/>
        <v>0.8368502043545194</v>
      </c>
      <c r="N43" s="5">
        <f>+K43-[1]Julio!D42</f>
        <v>-2448207072</v>
      </c>
    </row>
    <row r="44" spans="1:16" ht="15.75" x14ac:dyDescent="0.25">
      <c r="A44" s="99">
        <v>10522</v>
      </c>
      <c r="B44" s="57">
        <v>20</v>
      </c>
      <c r="C44" s="6" t="s">
        <v>33</v>
      </c>
      <c r="D44" s="58">
        <v>302584205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82">
        <f t="shared" si="9"/>
        <v>0</v>
      </c>
      <c r="K44" s="82">
        <f t="shared" si="10"/>
        <v>302584205</v>
      </c>
      <c r="L44" s="82">
        <v>236268014</v>
      </c>
      <c r="M44" s="100">
        <f t="shared" si="2"/>
        <v>0.78083393017821268</v>
      </c>
      <c r="N44" s="5">
        <f>+K44-[1]Julio!D43</f>
        <v>-1701492326</v>
      </c>
    </row>
    <row r="45" spans="1:16" ht="31.5" x14ac:dyDescent="0.25">
      <c r="A45" s="99">
        <v>10523</v>
      </c>
      <c r="B45" s="57">
        <v>20</v>
      </c>
      <c r="C45" s="6" t="s">
        <v>34</v>
      </c>
      <c r="D45" s="58">
        <v>111200279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82">
        <f t="shared" si="9"/>
        <v>0</v>
      </c>
      <c r="K45" s="82">
        <f t="shared" si="10"/>
        <v>111200279</v>
      </c>
      <c r="L45" s="82">
        <v>111127458</v>
      </c>
      <c r="M45" s="100">
        <f t="shared" si="2"/>
        <v>0.99934513653513402</v>
      </c>
      <c r="N45" s="5">
        <f>+K45-[1]Julio!D44</f>
        <v>-655993127</v>
      </c>
    </row>
    <row r="46" spans="1:16" ht="63" x14ac:dyDescent="0.25">
      <c r="A46" s="99">
        <v>10527</v>
      </c>
      <c r="B46" s="57">
        <v>20</v>
      </c>
      <c r="C46" s="6" t="s">
        <v>35</v>
      </c>
      <c r="D46" s="58">
        <v>16124041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82">
        <f t="shared" si="9"/>
        <v>0</v>
      </c>
      <c r="K46" s="82">
        <f t="shared" si="10"/>
        <v>16124041</v>
      </c>
      <c r="L46" s="82">
        <v>12373565</v>
      </c>
      <c r="M46" s="100">
        <f t="shared" si="2"/>
        <v>0.76739850760736716</v>
      </c>
      <c r="N46" s="5">
        <f>+K46-[1]Julio!D45</f>
        <v>-90721619</v>
      </c>
    </row>
    <row r="47" spans="1:16" ht="15.75" x14ac:dyDescent="0.25">
      <c r="A47" s="99">
        <v>1056</v>
      </c>
      <c r="B47" s="57">
        <v>20</v>
      </c>
      <c r="C47" s="6" t="s">
        <v>36</v>
      </c>
      <c r="D47" s="58">
        <v>100486403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82">
        <f t="shared" si="9"/>
        <v>0</v>
      </c>
      <c r="K47" s="82">
        <f t="shared" si="10"/>
        <v>100486403</v>
      </c>
      <c r="L47" s="82">
        <v>74921852</v>
      </c>
      <c r="M47" s="100">
        <f t="shared" si="2"/>
        <v>0.7455919384436519</v>
      </c>
      <c r="N47" s="5">
        <f>+K47-[1]Julio!D46</f>
        <v>-539135272</v>
      </c>
    </row>
    <row r="48" spans="1:16" ht="15.75" x14ac:dyDescent="0.25">
      <c r="A48" s="99">
        <v>1057</v>
      </c>
      <c r="B48" s="57">
        <v>20</v>
      </c>
      <c r="C48" s="6" t="s">
        <v>37</v>
      </c>
      <c r="D48" s="58">
        <v>67079178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82">
        <f t="shared" si="9"/>
        <v>0</v>
      </c>
      <c r="K48" s="82">
        <f t="shared" si="10"/>
        <v>67079178</v>
      </c>
      <c r="L48" s="82">
        <v>49950332</v>
      </c>
      <c r="M48" s="100">
        <f t="shared" si="2"/>
        <v>0.74464734794454401</v>
      </c>
      <c r="N48" s="5">
        <f>+K48-[1]Julio!D47</f>
        <v>-376993524</v>
      </c>
    </row>
    <row r="49" spans="1:51" ht="15.75" x14ac:dyDescent="0.25">
      <c r="A49" s="99">
        <v>2</v>
      </c>
      <c r="B49" s="57"/>
      <c r="C49" s="6" t="s">
        <v>38</v>
      </c>
      <c r="D49" s="58">
        <f>+D50</f>
        <v>1766600000</v>
      </c>
      <c r="E49" s="58">
        <f t="shared" ref="E49:I49" si="23">+E50</f>
        <v>0</v>
      </c>
      <c r="F49" s="58">
        <f t="shared" si="23"/>
        <v>0</v>
      </c>
      <c r="G49" s="58">
        <f t="shared" si="23"/>
        <v>0</v>
      </c>
      <c r="H49" s="58">
        <f t="shared" si="23"/>
        <v>800493000</v>
      </c>
      <c r="I49" s="58">
        <f t="shared" si="23"/>
        <v>319311088</v>
      </c>
      <c r="J49" s="82">
        <f t="shared" si="9"/>
        <v>481181912</v>
      </c>
      <c r="K49" s="82">
        <f t="shared" si="10"/>
        <v>2247781912</v>
      </c>
      <c r="L49" s="82">
        <f>+L50</f>
        <v>1840545624.8399997</v>
      </c>
      <c r="M49" s="100">
        <f t="shared" si="2"/>
        <v>0.81882749167704827</v>
      </c>
      <c r="N49" s="5">
        <f>+K49-[1]Julio!D57</f>
        <v>-7189218088</v>
      </c>
      <c r="AY49" s="7"/>
    </row>
    <row r="50" spans="1:51" ht="15.75" x14ac:dyDescent="0.25">
      <c r="A50" s="99">
        <v>20</v>
      </c>
      <c r="B50" s="57"/>
      <c r="C50" s="6" t="s">
        <v>38</v>
      </c>
      <c r="D50" s="58">
        <f>+D51+D55</f>
        <v>1766600000</v>
      </c>
      <c r="E50" s="58">
        <f t="shared" ref="E50:I50" si="24">+E51+E55</f>
        <v>0</v>
      </c>
      <c r="F50" s="58">
        <f t="shared" si="24"/>
        <v>0</v>
      </c>
      <c r="G50" s="58">
        <f t="shared" si="24"/>
        <v>0</v>
      </c>
      <c r="H50" s="58">
        <f t="shared" si="24"/>
        <v>800493000</v>
      </c>
      <c r="I50" s="58">
        <f t="shared" si="24"/>
        <v>319311088</v>
      </c>
      <c r="J50" s="82">
        <f t="shared" si="9"/>
        <v>481181912</v>
      </c>
      <c r="K50" s="82">
        <f>D50+J50</f>
        <v>2247781912</v>
      </c>
      <c r="L50" s="82">
        <f>+L51+L55</f>
        <v>1840545624.8399997</v>
      </c>
      <c r="M50" s="100">
        <f t="shared" si="2"/>
        <v>0.81882749167704827</v>
      </c>
      <c r="N50" s="5">
        <f>+K50-[1]Julio!D58</f>
        <v>-7189218088</v>
      </c>
    </row>
    <row r="51" spans="1:51" ht="15.75" x14ac:dyDescent="0.25">
      <c r="A51" s="99">
        <v>203</v>
      </c>
      <c r="B51" s="57"/>
      <c r="C51" s="6" t="s">
        <v>39</v>
      </c>
      <c r="D51" s="58">
        <f>+D52</f>
        <v>16800000</v>
      </c>
      <c r="E51" s="58">
        <f t="shared" ref="E51:I51" si="25">+E52</f>
        <v>0</v>
      </c>
      <c r="F51" s="58">
        <f t="shared" si="25"/>
        <v>0</v>
      </c>
      <c r="G51" s="58">
        <f t="shared" si="25"/>
        <v>0</v>
      </c>
      <c r="H51" s="58">
        <f t="shared" si="25"/>
        <v>0</v>
      </c>
      <c r="I51" s="58">
        <f t="shared" si="25"/>
        <v>15818088</v>
      </c>
      <c r="J51" s="82">
        <f t="shared" si="9"/>
        <v>-15818088</v>
      </c>
      <c r="K51" s="82">
        <f>D51+J51</f>
        <v>981912</v>
      </c>
      <c r="L51" s="82">
        <f t="shared" ref="L51" si="26">+L52</f>
        <v>981912</v>
      </c>
      <c r="M51" s="100">
        <f t="shared" si="2"/>
        <v>1</v>
      </c>
      <c r="N51" s="5">
        <f>+K51-[1]Julio!D59</f>
        <v>-16918088</v>
      </c>
    </row>
    <row r="52" spans="1:51" ht="15.75" x14ac:dyDescent="0.25">
      <c r="A52" s="99">
        <v>20350</v>
      </c>
      <c r="B52" s="57"/>
      <c r="C52" s="6" t="s">
        <v>40</v>
      </c>
      <c r="D52" s="58">
        <f>+D53+D54</f>
        <v>16800000</v>
      </c>
      <c r="E52" s="58">
        <f t="shared" ref="E52:I52" si="27">+E53+E54</f>
        <v>0</v>
      </c>
      <c r="F52" s="58">
        <f t="shared" si="27"/>
        <v>0</v>
      </c>
      <c r="G52" s="58">
        <f t="shared" si="27"/>
        <v>0</v>
      </c>
      <c r="H52" s="58">
        <f t="shared" si="27"/>
        <v>0</v>
      </c>
      <c r="I52" s="58">
        <f t="shared" si="27"/>
        <v>15818088</v>
      </c>
      <c r="J52" s="82">
        <f t="shared" si="9"/>
        <v>-15818088</v>
      </c>
      <c r="K52" s="82">
        <f t="shared" si="10"/>
        <v>981912</v>
      </c>
      <c r="L52" s="82">
        <f t="shared" ref="L52" si="28">+L53+L54</f>
        <v>981912</v>
      </c>
      <c r="M52" s="100">
        <f t="shared" si="2"/>
        <v>1</v>
      </c>
      <c r="N52" s="5">
        <f>+K52-[1]Julio!D60</f>
        <v>-16918088</v>
      </c>
    </row>
    <row r="53" spans="1:51" ht="15.75" x14ac:dyDescent="0.25">
      <c r="A53" s="99">
        <v>203502</v>
      </c>
      <c r="B53" s="57">
        <v>20</v>
      </c>
      <c r="C53" s="6" t="s">
        <v>41</v>
      </c>
      <c r="D53" s="58">
        <v>4206554</v>
      </c>
      <c r="E53" s="58">
        <v>0</v>
      </c>
      <c r="F53" s="58">
        <v>0</v>
      </c>
      <c r="G53" s="58">
        <v>0</v>
      </c>
      <c r="H53" s="58">
        <v>0</v>
      </c>
      <c r="I53" s="58">
        <v>3224642</v>
      </c>
      <c r="J53" s="82">
        <f t="shared" si="9"/>
        <v>-3224642</v>
      </c>
      <c r="K53" s="82">
        <f t="shared" si="10"/>
        <v>981912</v>
      </c>
      <c r="L53" s="82">
        <v>981912</v>
      </c>
      <c r="M53" s="100">
        <f t="shared" si="2"/>
        <v>1</v>
      </c>
      <c r="N53" s="5">
        <f>+K53-[1]Julio!D61</f>
        <v>-18088</v>
      </c>
    </row>
    <row r="54" spans="1:51" ht="15.75" x14ac:dyDescent="0.25">
      <c r="A54" s="99">
        <v>203503</v>
      </c>
      <c r="B54" s="57">
        <v>20</v>
      </c>
      <c r="C54" s="6" t="s">
        <v>42</v>
      </c>
      <c r="D54" s="58">
        <v>12593446</v>
      </c>
      <c r="E54" s="58">
        <v>0</v>
      </c>
      <c r="F54" s="58">
        <v>0</v>
      </c>
      <c r="G54" s="58">
        <v>0</v>
      </c>
      <c r="H54" s="58">
        <v>0</v>
      </c>
      <c r="I54" s="58">
        <v>12593446</v>
      </c>
      <c r="J54" s="82">
        <f t="shared" si="9"/>
        <v>-12593446</v>
      </c>
      <c r="K54" s="82">
        <f t="shared" si="10"/>
        <v>0</v>
      </c>
      <c r="L54" s="82">
        <v>0</v>
      </c>
      <c r="M54" s="100" t="s">
        <v>155</v>
      </c>
      <c r="N54" s="5">
        <f>+K54-[1]Julio!D62</f>
        <v>-16900000</v>
      </c>
    </row>
    <row r="55" spans="1:51" ht="15.75" x14ac:dyDescent="0.25">
      <c r="A55" s="99">
        <v>204</v>
      </c>
      <c r="B55" s="57"/>
      <c r="C55" s="6" t="s">
        <v>43</v>
      </c>
      <c r="D55" s="58">
        <f>+D56+D61+D64+D76+D83+D88+D92+D97+D101+D104+D107+D108+D112+D114</f>
        <v>1749800000</v>
      </c>
      <c r="E55" s="58">
        <f t="shared" ref="E55:H55" si="29">+E56+E61+E64+E76+E83+E88+E92+E97+E101+E104+E107+E108+E112+E114</f>
        <v>0</v>
      </c>
      <c r="F55" s="58">
        <f t="shared" si="29"/>
        <v>0</v>
      </c>
      <c r="G55" s="58">
        <f t="shared" si="29"/>
        <v>0</v>
      </c>
      <c r="H55" s="58">
        <f t="shared" si="29"/>
        <v>800493000</v>
      </c>
      <c r="I55" s="58">
        <f>+I56+I61+I64+I76+I83+I88+I92+I97+I101+I104+I107+I108+I112+I114</f>
        <v>303493000</v>
      </c>
      <c r="J55" s="82">
        <f t="shared" si="9"/>
        <v>497000000</v>
      </c>
      <c r="K55" s="82">
        <f t="shared" si="10"/>
        <v>2246800000</v>
      </c>
      <c r="L55" s="82">
        <f>+L56+L61+L64+L76+L83+L88+L92+L97+L101+L104+L107+L108+L112+L1140+L114</f>
        <v>1839563712.8399997</v>
      </c>
      <c r="M55" s="100">
        <f t="shared" si="2"/>
        <v>0.81874831442050899</v>
      </c>
      <c r="N55" s="5">
        <f>+K55-[1]Julio!D63</f>
        <v>-7172300000</v>
      </c>
    </row>
    <row r="56" spans="1:51" ht="15.75" x14ac:dyDescent="0.25">
      <c r="A56" s="99">
        <v>2041</v>
      </c>
      <c r="B56" s="57"/>
      <c r="C56" s="6" t="s">
        <v>131</v>
      </c>
      <c r="D56" s="58">
        <f>SUM(D57:D60)</f>
        <v>42867028</v>
      </c>
      <c r="E56" s="58">
        <f t="shared" ref="E56:I56" si="30">SUM(E57:E60)</f>
        <v>0</v>
      </c>
      <c r="F56" s="58">
        <f t="shared" si="30"/>
        <v>0</v>
      </c>
      <c r="G56" s="58">
        <f t="shared" si="30"/>
        <v>0</v>
      </c>
      <c r="H56" s="58">
        <f t="shared" si="30"/>
        <v>87097400</v>
      </c>
      <c r="I56" s="58">
        <f t="shared" si="30"/>
        <v>0</v>
      </c>
      <c r="J56" s="82">
        <f t="shared" si="9"/>
        <v>87097400</v>
      </c>
      <c r="K56" s="82">
        <f t="shared" si="10"/>
        <v>129964428</v>
      </c>
      <c r="L56" s="82">
        <f t="shared" ref="L56" si="31">SUM(L57:L60)</f>
        <v>101314559</v>
      </c>
      <c r="M56" s="100">
        <f t="shared" si="2"/>
        <v>0.77955607206611954</v>
      </c>
      <c r="N56" s="5"/>
    </row>
    <row r="57" spans="1:51" ht="15.75" x14ac:dyDescent="0.25">
      <c r="A57" s="99">
        <v>20414</v>
      </c>
      <c r="B57" s="57">
        <v>20</v>
      </c>
      <c r="C57" s="6" t="s">
        <v>132</v>
      </c>
      <c r="D57" s="58">
        <v>502642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82">
        <f t="shared" si="9"/>
        <v>0</v>
      </c>
      <c r="K57" s="82">
        <f t="shared" si="10"/>
        <v>502642</v>
      </c>
      <c r="L57" s="82">
        <v>2003</v>
      </c>
      <c r="M57" s="100">
        <f t="shared" si="2"/>
        <v>3.9849435582382693E-3</v>
      </c>
      <c r="N57" s="5"/>
    </row>
    <row r="58" spans="1:51" ht="15.75" x14ac:dyDescent="0.25">
      <c r="A58" s="99">
        <v>20416</v>
      </c>
      <c r="B58" s="57">
        <v>20</v>
      </c>
      <c r="C58" s="6" t="s">
        <v>133</v>
      </c>
      <c r="D58" s="58">
        <v>22831472</v>
      </c>
      <c r="E58" s="58">
        <v>0</v>
      </c>
      <c r="F58" s="58">
        <v>0</v>
      </c>
      <c r="G58" s="58">
        <v>0</v>
      </c>
      <c r="H58" s="58">
        <f>25000000+39708200</f>
        <v>64708200</v>
      </c>
      <c r="I58" s="58">
        <v>0</v>
      </c>
      <c r="J58" s="82">
        <f t="shared" si="9"/>
        <v>64708200</v>
      </c>
      <c r="K58" s="82">
        <f t="shared" si="10"/>
        <v>87539672</v>
      </c>
      <c r="L58" s="82">
        <v>73508924</v>
      </c>
      <c r="M58" s="100">
        <f t="shared" si="2"/>
        <v>0.83972126374885203</v>
      </c>
      <c r="N58" s="5"/>
    </row>
    <row r="59" spans="1:51" ht="15.75" x14ac:dyDescent="0.25">
      <c r="A59" s="99">
        <v>20418</v>
      </c>
      <c r="B59" s="57">
        <v>20</v>
      </c>
      <c r="C59" s="6" t="s">
        <v>134</v>
      </c>
      <c r="D59" s="58">
        <v>19532914</v>
      </c>
      <c r="E59" s="58">
        <v>0</v>
      </c>
      <c r="F59" s="58">
        <v>0</v>
      </c>
      <c r="G59" s="58">
        <v>0</v>
      </c>
      <c r="H59" s="58">
        <v>6526000</v>
      </c>
      <c r="I59" s="58">
        <v>0</v>
      </c>
      <c r="J59" s="82">
        <f t="shared" si="9"/>
        <v>6526000</v>
      </c>
      <c r="K59" s="82">
        <f t="shared" si="10"/>
        <v>26058914</v>
      </c>
      <c r="L59" s="82">
        <v>24915580</v>
      </c>
      <c r="M59" s="100">
        <f t="shared" si="2"/>
        <v>0.95612503268555249</v>
      </c>
      <c r="N59" s="5"/>
    </row>
    <row r="60" spans="1:51" ht="15.75" x14ac:dyDescent="0.25">
      <c r="A60" s="99">
        <v>204125</v>
      </c>
      <c r="B60" s="57">
        <v>20</v>
      </c>
      <c r="C60" s="6" t="s">
        <v>154</v>
      </c>
      <c r="D60" s="58">
        <v>0</v>
      </c>
      <c r="E60" s="58">
        <v>0</v>
      </c>
      <c r="F60" s="58">
        <v>0</v>
      </c>
      <c r="G60" s="58">
        <v>0</v>
      </c>
      <c r="H60" s="58">
        <v>15863200</v>
      </c>
      <c r="I60" s="58">
        <v>0</v>
      </c>
      <c r="J60" s="82">
        <f t="shared" ref="J60" si="32">E60-F60-G60+H60-I60</f>
        <v>15863200</v>
      </c>
      <c r="K60" s="82">
        <f t="shared" ref="K60" si="33">D60+J60</f>
        <v>15863200</v>
      </c>
      <c r="L60" s="82">
        <v>2888052</v>
      </c>
      <c r="M60" s="100">
        <f t="shared" si="2"/>
        <v>0.18205986181854858</v>
      </c>
      <c r="N60" s="5"/>
    </row>
    <row r="61" spans="1:51" ht="15.75" x14ac:dyDescent="0.25">
      <c r="A61" s="99">
        <v>2042</v>
      </c>
      <c r="B61" s="57"/>
      <c r="C61" s="6" t="s">
        <v>135</v>
      </c>
      <c r="D61" s="58">
        <f>+D62+D63</f>
        <v>17108000</v>
      </c>
      <c r="E61" s="58">
        <f t="shared" ref="E61:I61" si="34">+E62+E63</f>
        <v>0</v>
      </c>
      <c r="F61" s="58">
        <f t="shared" si="34"/>
        <v>0</v>
      </c>
      <c r="G61" s="58">
        <f t="shared" si="34"/>
        <v>0</v>
      </c>
      <c r="H61" s="58">
        <f t="shared" si="34"/>
        <v>74234000</v>
      </c>
      <c r="I61" s="58">
        <f t="shared" si="34"/>
        <v>0</v>
      </c>
      <c r="J61" s="82">
        <f t="shared" si="9"/>
        <v>74234000</v>
      </c>
      <c r="K61" s="82">
        <f t="shared" si="10"/>
        <v>91342000</v>
      </c>
      <c r="L61" s="82">
        <f t="shared" ref="L61" si="35">+L62+L63</f>
        <v>60298908</v>
      </c>
      <c r="M61" s="100">
        <f t="shared" si="2"/>
        <v>0.66014438046024826</v>
      </c>
      <c r="N61" s="5"/>
    </row>
    <row r="62" spans="1:51" ht="15.75" x14ac:dyDescent="0.25">
      <c r="A62" s="99">
        <v>20421</v>
      </c>
      <c r="B62" s="57">
        <v>20</v>
      </c>
      <c r="C62" s="6" t="s">
        <v>136</v>
      </c>
      <c r="D62" s="58">
        <v>2510000</v>
      </c>
      <c r="E62" s="58">
        <v>0</v>
      </c>
      <c r="F62" s="58">
        <v>0</v>
      </c>
      <c r="G62" s="58">
        <v>0</v>
      </c>
      <c r="H62" s="58">
        <v>16064000</v>
      </c>
      <c r="I62" s="58">
        <v>0</v>
      </c>
      <c r="J62" s="82">
        <f t="shared" si="9"/>
        <v>16064000</v>
      </c>
      <c r="K62" s="82">
        <f t="shared" si="10"/>
        <v>18574000</v>
      </c>
      <c r="L62" s="82">
        <v>9543196</v>
      </c>
      <c r="M62" s="100">
        <f t="shared" si="2"/>
        <v>0.51379325939485299</v>
      </c>
      <c r="N62" s="5"/>
    </row>
    <row r="63" spans="1:51" ht="15.75" x14ac:dyDescent="0.25">
      <c r="A63" s="99">
        <v>20422</v>
      </c>
      <c r="B63" s="57">
        <v>20</v>
      </c>
      <c r="C63" s="6" t="s">
        <v>137</v>
      </c>
      <c r="D63" s="58">
        <v>14598000</v>
      </c>
      <c r="E63" s="58">
        <v>0</v>
      </c>
      <c r="F63" s="58">
        <v>0</v>
      </c>
      <c r="G63" s="58">
        <v>0</v>
      </c>
      <c r="H63" s="58">
        <f>40600000+17570000</f>
        <v>58170000</v>
      </c>
      <c r="I63" s="58">
        <v>0</v>
      </c>
      <c r="J63" s="82">
        <f t="shared" si="9"/>
        <v>58170000</v>
      </c>
      <c r="K63" s="82">
        <f t="shared" si="10"/>
        <v>72768000</v>
      </c>
      <c r="L63" s="82">
        <v>50755712</v>
      </c>
      <c r="M63" s="100">
        <f t="shared" si="2"/>
        <v>0.69750043975373788</v>
      </c>
      <c r="N63" s="5"/>
    </row>
    <row r="64" spans="1:51" ht="15.75" x14ac:dyDescent="0.25">
      <c r="A64" s="99">
        <v>2044</v>
      </c>
      <c r="B64" s="57"/>
      <c r="C64" s="6" t="s">
        <v>44</v>
      </c>
      <c r="D64" s="58">
        <f>SUM(D65:D75)</f>
        <v>165698924</v>
      </c>
      <c r="E64" s="58">
        <f t="shared" ref="E64:I64" si="36">SUM(E65:E75)</f>
        <v>0</v>
      </c>
      <c r="F64" s="58">
        <f t="shared" si="36"/>
        <v>0</v>
      </c>
      <c r="G64" s="58">
        <f t="shared" si="36"/>
        <v>0</v>
      </c>
      <c r="H64" s="58">
        <f t="shared" si="36"/>
        <v>73333600</v>
      </c>
      <c r="I64" s="58">
        <f t="shared" si="36"/>
        <v>8433600</v>
      </c>
      <c r="J64" s="82">
        <f t="shared" si="9"/>
        <v>64900000</v>
      </c>
      <c r="K64" s="82">
        <f t="shared" si="10"/>
        <v>230598924</v>
      </c>
      <c r="L64" s="82">
        <f t="shared" ref="L64" si="37">SUM(L65:L75)</f>
        <v>208803255.60000002</v>
      </c>
      <c r="M64" s="100">
        <f t="shared" si="2"/>
        <v>0.90548234995233556</v>
      </c>
      <c r="N64" s="5">
        <f>+K64-[1]Julio!D73</f>
        <v>5207137</v>
      </c>
    </row>
    <row r="65" spans="1:14" ht="15.75" x14ac:dyDescent="0.25">
      <c r="A65" s="99">
        <v>20441</v>
      </c>
      <c r="B65" s="57">
        <v>20</v>
      </c>
      <c r="C65" s="6" t="s">
        <v>45</v>
      </c>
      <c r="D65" s="58">
        <v>66264024</v>
      </c>
      <c r="E65" s="58">
        <v>0</v>
      </c>
      <c r="F65" s="58">
        <v>0</v>
      </c>
      <c r="G65" s="58">
        <v>0</v>
      </c>
      <c r="H65" s="58">
        <f>6000000+4016000</f>
        <v>10016000</v>
      </c>
      <c r="I65" s="58">
        <v>0</v>
      </c>
      <c r="J65" s="82">
        <f t="shared" si="9"/>
        <v>10016000</v>
      </c>
      <c r="K65" s="82">
        <f t="shared" si="10"/>
        <v>76280024</v>
      </c>
      <c r="L65" s="82">
        <v>68962464</v>
      </c>
      <c r="M65" s="100">
        <f t="shared" si="2"/>
        <v>0.90406977323447091</v>
      </c>
      <c r="N65" s="5">
        <f>+K65-[1]Julio!D74</f>
        <v>-14137820</v>
      </c>
    </row>
    <row r="66" spans="1:14" ht="15.75" x14ac:dyDescent="0.25">
      <c r="A66" s="99">
        <v>20442</v>
      </c>
      <c r="B66" s="57">
        <v>20</v>
      </c>
      <c r="C66" s="6" t="s">
        <v>46</v>
      </c>
      <c r="D66" s="58">
        <v>7984621</v>
      </c>
      <c r="E66" s="58">
        <v>0</v>
      </c>
      <c r="F66" s="58">
        <v>0</v>
      </c>
      <c r="G66" s="58">
        <v>0</v>
      </c>
      <c r="H66" s="58">
        <v>0</v>
      </c>
      <c r="I66" s="58">
        <v>2911600</v>
      </c>
      <c r="J66" s="82">
        <f t="shared" si="9"/>
        <v>-2911600</v>
      </c>
      <c r="K66" s="82">
        <f t="shared" si="10"/>
        <v>5073021</v>
      </c>
      <c r="L66" s="82">
        <v>20211</v>
      </c>
      <c r="M66" s="100">
        <f t="shared" si="2"/>
        <v>3.9840166244137368E-3</v>
      </c>
      <c r="N66" s="5">
        <f>+K66-[1]Julio!D75</f>
        <v>-5892870</v>
      </c>
    </row>
    <row r="67" spans="1:14" ht="15.75" x14ac:dyDescent="0.25">
      <c r="A67" s="99">
        <v>20446</v>
      </c>
      <c r="B67" s="57">
        <v>20</v>
      </c>
      <c r="C67" s="6" t="s">
        <v>138</v>
      </c>
      <c r="D67" s="58">
        <v>6024000</v>
      </c>
      <c r="E67" s="58">
        <v>0</v>
      </c>
      <c r="F67" s="58">
        <v>0</v>
      </c>
      <c r="G67" s="58">
        <v>0</v>
      </c>
      <c r="H67" s="58">
        <v>0</v>
      </c>
      <c r="I67" s="58">
        <v>2409600</v>
      </c>
      <c r="J67" s="82">
        <f t="shared" si="9"/>
        <v>-2409600</v>
      </c>
      <c r="K67" s="82">
        <f t="shared" si="10"/>
        <v>3614400</v>
      </c>
      <c r="L67" s="82">
        <v>3614400</v>
      </c>
      <c r="M67" s="100">
        <f t="shared" si="2"/>
        <v>1</v>
      </c>
      <c r="N67" s="5"/>
    </row>
    <row r="68" spans="1:14" ht="15.75" x14ac:dyDescent="0.25">
      <c r="A68" s="99">
        <v>20449</v>
      </c>
      <c r="B68" s="57">
        <v>20</v>
      </c>
      <c r="C68" s="6" t="s">
        <v>47</v>
      </c>
      <c r="D68" s="58">
        <v>1004000</v>
      </c>
      <c r="E68" s="58">
        <v>0</v>
      </c>
      <c r="F68" s="58">
        <v>0</v>
      </c>
      <c r="G68" s="58">
        <v>0</v>
      </c>
      <c r="H68" s="58">
        <v>0</v>
      </c>
      <c r="I68" s="58">
        <v>953800</v>
      </c>
      <c r="J68" s="82">
        <f t="shared" si="9"/>
        <v>-953800</v>
      </c>
      <c r="K68" s="82">
        <f t="shared" si="10"/>
        <v>50200</v>
      </c>
      <c r="L68" s="82">
        <v>200</v>
      </c>
      <c r="M68" s="100">
        <f t="shared" si="2"/>
        <v>3.9840637450199202E-3</v>
      </c>
      <c r="N68" s="5">
        <f>+K68-[1]Julio!D77</f>
        <v>-2587682</v>
      </c>
    </row>
    <row r="69" spans="1:14" ht="40.5" customHeight="1" x14ac:dyDescent="0.25">
      <c r="A69" s="99">
        <v>204413</v>
      </c>
      <c r="B69" s="57">
        <v>20</v>
      </c>
      <c r="C69" s="6" t="s">
        <v>48</v>
      </c>
      <c r="D69" s="58">
        <v>246110</v>
      </c>
      <c r="E69" s="58">
        <v>0</v>
      </c>
      <c r="F69" s="58">
        <v>0</v>
      </c>
      <c r="G69" s="58">
        <v>0</v>
      </c>
      <c r="H69" s="58">
        <v>0</v>
      </c>
      <c r="I69" s="58">
        <v>240960</v>
      </c>
      <c r="J69" s="82">
        <f t="shared" si="9"/>
        <v>-240960</v>
      </c>
      <c r="K69" s="82">
        <f t="shared" si="10"/>
        <v>5150</v>
      </c>
      <c r="L69" s="82">
        <v>21</v>
      </c>
      <c r="M69" s="100">
        <f t="shared" si="2"/>
        <v>4.0776699029126213E-3</v>
      </c>
      <c r="N69" s="5">
        <f>+K69-[1]Julio!D78</f>
        <v>-1617257</v>
      </c>
    </row>
    <row r="70" spans="1:14" ht="31.5" x14ac:dyDescent="0.25">
      <c r="A70" s="99">
        <v>204415</v>
      </c>
      <c r="B70" s="57">
        <v>20</v>
      </c>
      <c r="C70" s="6" t="s">
        <v>49</v>
      </c>
      <c r="D70" s="58">
        <v>64240007</v>
      </c>
      <c r="E70" s="58">
        <v>0</v>
      </c>
      <c r="F70" s="58">
        <v>0</v>
      </c>
      <c r="G70" s="58">
        <v>0</v>
      </c>
      <c r="H70" s="58">
        <v>30000000</v>
      </c>
      <c r="I70" s="58">
        <v>1004000</v>
      </c>
      <c r="J70" s="82">
        <f t="shared" si="9"/>
        <v>28996000</v>
      </c>
      <c r="K70" s="82">
        <f t="shared" si="10"/>
        <v>93236007</v>
      </c>
      <c r="L70" s="82">
        <v>88978069.859999999</v>
      </c>
      <c r="M70" s="100">
        <f t="shared" si="2"/>
        <v>0.9543316227602926</v>
      </c>
      <c r="N70" s="5">
        <f>+K70-[1]Julio!D79</f>
        <v>33090685</v>
      </c>
    </row>
    <row r="71" spans="1:14" ht="15.75" x14ac:dyDescent="0.25">
      <c r="A71" s="99">
        <v>204417</v>
      </c>
      <c r="B71" s="57">
        <v>20</v>
      </c>
      <c r="C71" s="6" t="s">
        <v>50</v>
      </c>
      <c r="D71" s="58">
        <v>1515913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82">
        <f t="shared" si="9"/>
        <v>0</v>
      </c>
      <c r="K71" s="82">
        <f t="shared" si="10"/>
        <v>1515913</v>
      </c>
      <c r="L71" s="82">
        <v>1506039</v>
      </c>
      <c r="M71" s="100">
        <f t="shared" si="2"/>
        <v>0.99348643358820721</v>
      </c>
      <c r="N71" s="5">
        <f>+K71-[1]Julio!D80</f>
        <v>-64236</v>
      </c>
    </row>
    <row r="72" spans="1:14" ht="31.5" x14ac:dyDescent="0.25">
      <c r="A72" s="99">
        <v>204418</v>
      </c>
      <c r="B72" s="57">
        <v>20</v>
      </c>
      <c r="C72" s="6" t="s">
        <v>51</v>
      </c>
      <c r="D72" s="58">
        <v>3717267</v>
      </c>
      <c r="E72" s="58">
        <v>0</v>
      </c>
      <c r="F72" s="58">
        <v>0</v>
      </c>
      <c r="G72" s="58">
        <v>0</v>
      </c>
      <c r="H72" s="58">
        <v>17000000</v>
      </c>
      <c r="I72" s="58">
        <v>10040</v>
      </c>
      <c r="J72" s="82">
        <f t="shared" si="9"/>
        <v>16989960</v>
      </c>
      <c r="K72" s="82">
        <f t="shared" si="10"/>
        <v>20707227</v>
      </c>
      <c r="L72" s="82">
        <v>16845875.739999998</v>
      </c>
      <c r="M72" s="100">
        <f t="shared" si="2"/>
        <v>0.81352639539808969</v>
      </c>
      <c r="N72" s="5">
        <f>+K72-[1]Julio!D81</f>
        <v>13046169</v>
      </c>
    </row>
    <row r="73" spans="1:14" ht="15.75" x14ac:dyDescent="0.25">
      <c r="A73" s="99">
        <v>204420</v>
      </c>
      <c r="B73" s="57">
        <v>20</v>
      </c>
      <c r="C73" s="6" t="s">
        <v>52</v>
      </c>
      <c r="D73" s="58">
        <v>9901921</v>
      </c>
      <c r="E73" s="58">
        <v>0</v>
      </c>
      <c r="F73" s="58">
        <v>0</v>
      </c>
      <c r="G73" s="58">
        <v>0</v>
      </c>
      <c r="H73" s="58">
        <v>4417600</v>
      </c>
      <c r="I73" s="58">
        <v>0</v>
      </c>
      <c r="J73" s="82">
        <f t="shared" si="9"/>
        <v>4417600</v>
      </c>
      <c r="K73" s="82">
        <f t="shared" si="10"/>
        <v>14319521</v>
      </c>
      <c r="L73" s="82">
        <v>14063074</v>
      </c>
      <c r="M73" s="100">
        <f t="shared" si="2"/>
        <v>0.98209109089612701</v>
      </c>
      <c r="N73" s="5">
        <f>+K73-[1]Julio!D82</f>
        <v>-14410839</v>
      </c>
    </row>
    <row r="74" spans="1:14" ht="15.75" x14ac:dyDescent="0.25">
      <c r="A74" s="99">
        <v>204421</v>
      </c>
      <c r="B74" s="57">
        <v>20</v>
      </c>
      <c r="C74" s="6" t="s">
        <v>53</v>
      </c>
      <c r="D74" s="58">
        <v>1167384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82">
        <f t="shared" si="9"/>
        <v>0</v>
      </c>
      <c r="K74" s="82">
        <f t="shared" si="10"/>
        <v>1167384</v>
      </c>
      <c r="L74" s="82">
        <v>1104614</v>
      </c>
      <c r="M74" s="100">
        <f t="shared" si="2"/>
        <v>0.94623020360052901</v>
      </c>
      <c r="N74" s="5">
        <f>+K74-[1]Julio!D83</f>
        <v>-5364497</v>
      </c>
    </row>
    <row r="75" spans="1:14" ht="15.75" x14ac:dyDescent="0.25">
      <c r="A75" s="99">
        <v>204423</v>
      </c>
      <c r="B75" s="57">
        <v>20</v>
      </c>
      <c r="C75" s="6" t="s">
        <v>54</v>
      </c>
      <c r="D75" s="58">
        <v>3633677</v>
      </c>
      <c r="E75" s="58">
        <v>0</v>
      </c>
      <c r="F75" s="58">
        <v>0</v>
      </c>
      <c r="G75" s="58">
        <v>0</v>
      </c>
      <c r="H75" s="58">
        <v>11900000</v>
      </c>
      <c r="I75" s="58">
        <v>903600</v>
      </c>
      <c r="J75" s="82">
        <f t="shared" si="9"/>
        <v>10996400</v>
      </c>
      <c r="K75" s="82">
        <f t="shared" si="10"/>
        <v>14630077</v>
      </c>
      <c r="L75" s="82">
        <v>13708287</v>
      </c>
      <c r="M75" s="100">
        <f t="shared" ref="M75:M137" si="38">+L75/K75</f>
        <v>0.93699349634318396</v>
      </c>
      <c r="N75" s="5">
        <f>+K75-[1]Julio!D84</f>
        <v>9603248</v>
      </c>
    </row>
    <row r="76" spans="1:14" ht="15.75" x14ac:dyDescent="0.25">
      <c r="A76" s="99">
        <v>2045</v>
      </c>
      <c r="B76" s="57"/>
      <c r="C76" s="6" t="s">
        <v>55</v>
      </c>
      <c r="D76" s="58">
        <f>SUM(D77:D82)</f>
        <v>136754204</v>
      </c>
      <c r="E76" s="58">
        <f t="shared" ref="E76:I76" si="39">SUM(E77:E82)</f>
        <v>0</v>
      </c>
      <c r="F76" s="58">
        <f t="shared" si="39"/>
        <v>0</v>
      </c>
      <c r="G76" s="58">
        <f t="shared" si="39"/>
        <v>0</v>
      </c>
      <c r="H76" s="58">
        <f t="shared" si="39"/>
        <v>115532000</v>
      </c>
      <c r="I76" s="58">
        <f t="shared" si="39"/>
        <v>33132000</v>
      </c>
      <c r="J76" s="82">
        <f t="shared" si="9"/>
        <v>82400000</v>
      </c>
      <c r="K76" s="82">
        <f t="shared" si="10"/>
        <v>219154204</v>
      </c>
      <c r="L76" s="82">
        <f>SUM(L77:L82)</f>
        <v>130196894.44</v>
      </c>
      <c r="M76" s="100">
        <f t="shared" si="38"/>
        <v>0.59408805335990722</v>
      </c>
      <c r="N76" s="5">
        <f>+K76-[1]Julio!D85</f>
        <v>-622978308</v>
      </c>
    </row>
    <row r="77" spans="1:14" ht="31.5" x14ac:dyDescent="0.25">
      <c r="A77" s="99">
        <v>20451</v>
      </c>
      <c r="B77" s="57">
        <v>20</v>
      </c>
      <c r="C77" s="6" t="s">
        <v>56</v>
      </c>
      <c r="D77" s="58">
        <v>5020000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82">
        <f t="shared" ref="J77:J139" si="40">E77-F77-G77+H77-I77</f>
        <v>0</v>
      </c>
      <c r="K77" s="82">
        <f t="shared" ref="K77:K139" si="41">D77+J77</f>
        <v>5020000</v>
      </c>
      <c r="L77" s="82">
        <v>1624000</v>
      </c>
      <c r="M77" s="100">
        <f t="shared" si="38"/>
        <v>0.32350597609561754</v>
      </c>
      <c r="N77" s="5">
        <f>+K77-[1]Julio!D86</f>
        <v>-95815400</v>
      </c>
    </row>
    <row r="78" spans="1:14" ht="40.5" customHeight="1" x14ac:dyDescent="0.25">
      <c r="A78" s="99">
        <v>20452</v>
      </c>
      <c r="B78" s="57">
        <v>20</v>
      </c>
      <c r="C78" s="6" t="s">
        <v>57</v>
      </c>
      <c r="D78" s="58">
        <v>17948886</v>
      </c>
      <c r="E78" s="58">
        <v>0</v>
      </c>
      <c r="F78" s="58">
        <v>0</v>
      </c>
      <c r="G78" s="58">
        <v>0</v>
      </c>
      <c r="H78" s="58">
        <v>37500000</v>
      </c>
      <c r="I78" s="58">
        <v>25602000</v>
      </c>
      <c r="J78" s="82">
        <f t="shared" si="40"/>
        <v>11898000</v>
      </c>
      <c r="K78" s="82">
        <f t="shared" si="41"/>
        <v>29846886</v>
      </c>
      <c r="L78" s="82">
        <v>16401434.439999999</v>
      </c>
      <c r="M78" s="100">
        <f t="shared" si="38"/>
        <v>0.54951911700269163</v>
      </c>
      <c r="N78" s="5">
        <f>+K78-[1]Julio!D87</f>
        <v>-7907486</v>
      </c>
    </row>
    <row r="79" spans="1:14" ht="38.25" customHeight="1" x14ac:dyDescent="0.25">
      <c r="A79" s="99">
        <v>20455</v>
      </c>
      <c r="B79" s="57">
        <v>20</v>
      </c>
      <c r="C79" s="6" t="s">
        <v>58</v>
      </c>
      <c r="D79" s="58">
        <v>36875646</v>
      </c>
      <c r="E79" s="58">
        <v>0</v>
      </c>
      <c r="F79" s="58">
        <v>0</v>
      </c>
      <c r="G79" s="58">
        <v>0</v>
      </c>
      <c r="H79" s="58">
        <v>0</v>
      </c>
      <c r="I79" s="58">
        <v>7530000</v>
      </c>
      <c r="J79" s="82">
        <f t="shared" si="40"/>
        <v>-7530000</v>
      </c>
      <c r="K79" s="82">
        <f t="shared" si="41"/>
        <v>29345646</v>
      </c>
      <c r="L79" s="82">
        <v>25359283</v>
      </c>
      <c r="M79" s="100">
        <f t="shared" si="38"/>
        <v>0.86415828092521796</v>
      </c>
      <c r="N79" s="5">
        <f>+K79-[1]Julio!D88</f>
        <v>-31717611</v>
      </c>
    </row>
    <row r="80" spans="1:14" ht="31.5" x14ac:dyDescent="0.25">
      <c r="A80" s="99">
        <v>20456</v>
      </c>
      <c r="B80" s="57">
        <v>20</v>
      </c>
      <c r="C80" s="6" t="s">
        <v>59</v>
      </c>
      <c r="D80" s="58">
        <v>50754564</v>
      </c>
      <c r="E80" s="58">
        <v>0</v>
      </c>
      <c r="F80" s="58">
        <v>0</v>
      </c>
      <c r="G80" s="58">
        <v>0</v>
      </c>
      <c r="H80" s="58">
        <f>10000000+8032000</f>
        <v>18032000</v>
      </c>
      <c r="I80" s="58">
        <v>0</v>
      </c>
      <c r="J80" s="82">
        <f t="shared" si="40"/>
        <v>18032000</v>
      </c>
      <c r="K80" s="82">
        <f t="shared" si="41"/>
        <v>68786564</v>
      </c>
      <c r="L80" s="82">
        <v>67748930</v>
      </c>
      <c r="M80" s="100">
        <f t="shared" si="38"/>
        <v>0.98491516453707439</v>
      </c>
      <c r="N80" s="5">
        <f>+K80-[1]Julio!D89</f>
        <v>-34842024</v>
      </c>
    </row>
    <row r="81" spans="1:14" ht="15.75" x14ac:dyDescent="0.25">
      <c r="A81" s="99">
        <v>204512</v>
      </c>
      <c r="B81" s="57">
        <v>20</v>
      </c>
      <c r="C81" s="6" t="s">
        <v>60</v>
      </c>
      <c r="D81" s="58">
        <v>50199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82">
        <f t="shared" si="40"/>
        <v>0</v>
      </c>
      <c r="K81" s="82">
        <f t="shared" si="41"/>
        <v>50199</v>
      </c>
      <c r="L81" s="82">
        <v>200</v>
      </c>
      <c r="M81" s="100">
        <f t="shared" si="38"/>
        <v>3.9841431104205259E-3</v>
      </c>
      <c r="N81" s="5"/>
    </row>
    <row r="82" spans="1:14" ht="15.75" x14ac:dyDescent="0.25">
      <c r="A82" s="99">
        <v>204513</v>
      </c>
      <c r="B82" s="57">
        <v>20</v>
      </c>
      <c r="C82" s="6" t="s">
        <v>61</v>
      </c>
      <c r="D82" s="58">
        <v>26104909</v>
      </c>
      <c r="E82" s="58">
        <v>0</v>
      </c>
      <c r="F82" s="58">
        <v>0</v>
      </c>
      <c r="G82" s="58">
        <v>0</v>
      </c>
      <c r="H82" s="58">
        <v>60000000</v>
      </c>
      <c r="I82" s="58">
        <v>0</v>
      </c>
      <c r="J82" s="82">
        <f t="shared" si="40"/>
        <v>60000000</v>
      </c>
      <c r="K82" s="82">
        <f t="shared" si="41"/>
        <v>86104909</v>
      </c>
      <c r="L82" s="82">
        <v>19063047</v>
      </c>
      <c r="M82" s="100">
        <f t="shared" si="38"/>
        <v>0.22139326574283935</v>
      </c>
      <c r="N82" s="5"/>
    </row>
    <row r="83" spans="1:14" ht="15.75" x14ac:dyDescent="0.25">
      <c r="A83" s="99">
        <v>2046</v>
      </c>
      <c r="B83" s="57"/>
      <c r="C83" s="6" t="s">
        <v>62</v>
      </c>
      <c r="D83" s="58">
        <f>SUM(D84:D87)</f>
        <v>129265000</v>
      </c>
      <c r="E83" s="58">
        <f t="shared" ref="E83:I83" si="42">SUM(E84:E87)</f>
        <v>0</v>
      </c>
      <c r="F83" s="58">
        <f t="shared" si="42"/>
        <v>0</v>
      </c>
      <c r="G83" s="58">
        <f t="shared" si="42"/>
        <v>0</v>
      </c>
      <c r="H83" s="58">
        <f t="shared" si="42"/>
        <v>30100000</v>
      </c>
      <c r="I83" s="58">
        <f t="shared" si="42"/>
        <v>0</v>
      </c>
      <c r="J83" s="82">
        <f t="shared" si="40"/>
        <v>30100000</v>
      </c>
      <c r="K83" s="82">
        <f t="shared" si="41"/>
        <v>159365000</v>
      </c>
      <c r="L83" s="82">
        <f t="shared" ref="L83" si="43">SUM(L84:L87)</f>
        <v>124192571</v>
      </c>
      <c r="M83" s="100">
        <f t="shared" si="38"/>
        <v>0.7792964013428294</v>
      </c>
      <c r="N83" s="5">
        <f>+K83-[1]Julio!D103</f>
        <v>-101086266</v>
      </c>
    </row>
    <row r="84" spans="1:14" ht="15.75" x14ac:dyDescent="0.25">
      <c r="A84" s="99">
        <v>20462</v>
      </c>
      <c r="B84" s="57">
        <v>20</v>
      </c>
      <c r="C84" s="6" t="s">
        <v>63</v>
      </c>
      <c r="D84" s="58">
        <v>88101000</v>
      </c>
      <c r="E84" s="58">
        <v>0</v>
      </c>
      <c r="F84" s="58">
        <v>0</v>
      </c>
      <c r="G84" s="58">
        <v>0</v>
      </c>
      <c r="H84" s="58">
        <v>25100000</v>
      </c>
      <c r="I84" s="58">
        <v>0</v>
      </c>
      <c r="J84" s="82">
        <f t="shared" si="40"/>
        <v>25100000</v>
      </c>
      <c r="K84" s="82">
        <f t="shared" si="41"/>
        <v>113201000</v>
      </c>
      <c r="L84" s="82">
        <v>84308456.599999994</v>
      </c>
      <c r="M84" s="100">
        <f t="shared" si="38"/>
        <v>0.74476777236950198</v>
      </c>
      <c r="N84" s="5">
        <f>+K84-[1]Julio!D104</f>
        <v>-55769645</v>
      </c>
    </row>
    <row r="85" spans="1:14" ht="31.5" x14ac:dyDescent="0.25">
      <c r="A85" s="99">
        <v>20465</v>
      </c>
      <c r="B85" s="57">
        <v>20</v>
      </c>
      <c r="C85" s="6" t="s">
        <v>64</v>
      </c>
      <c r="D85" s="58">
        <v>40160000</v>
      </c>
      <c r="E85" s="58">
        <v>0</v>
      </c>
      <c r="F85" s="58">
        <v>0</v>
      </c>
      <c r="G85" s="58">
        <v>0</v>
      </c>
      <c r="H85" s="58">
        <v>5000000</v>
      </c>
      <c r="I85" s="58">
        <v>0</v>
      </c>
      <c r="J85" s="82">
        <f t="shared" si="40"/>
        <v>5000000</v>
      </c>
      <c r="K85" s="82">
        <f t="shared" si="41"/>
        <v>45160000</v>
      </c>
      <c r="L85" s="82">
        <v>39797184</v>
      </c>
      <c r="M85" s="100">
        <f t="shared" si="38"/>
        <v>0.88124853852967233</v>
      </c>
      <c r="N85" s="5">
        <f>+K85-[1]Julio!D105</f>
        <v>-45312117</v>
      </c>
    </row>
    <row r="86" spans="1:14" ht="15.75" x14ac:dyDescent="0.25">
      <c r="A86" s="99">
        <v>20467</v>
      </c>
      <c r="B86" s="57">
        <v>20</v>
      </c>
      <c r="C86" s="6" t="s">
        <v>65</v>
      </c>
      <c r="D86" s="58">
        <v>1004000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82">
        <f t="shared" si="40"/>
        <v>0</v>
      </c>
      <c r="K86" s="82">
        <f t="shared" si="41"/>
        <v>1004000</v>
      </c>
      <c r="L86" s="82">
        <v>86930.4</v>
      </c>
      <c r="M86" s="100">
        <f t="shared" si="38"/>
        <v>8.658406374501991E-2</v>
      </c>
      <c r="N86" s="5">
        <f>+K86-[1]Julio!D106</f>
        <v>-4504</v>
      </c>
    </row>
    <row r="87" spans="1:14" ht="31.5" x14ac:dyDescent="0.25">
      <c r="A87" s="99">
        <v>20468</v>
      </c>
      <c r="B87" s="57">
        <v>20</v>
      </c>
      <c r="C87" s="6" t="s">
        <v>66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82">
        <f t="shared" si="40"/>
        <v>0</v>
      </c>
      <c r="K87" s="82">
        <f t="shared" si="41"/>
        <v>0</v>
      </c>
      <c r="L87" s="82">
        <v>0</v>
      </c>
      <c r="M87" s="100" t="s">
        <v>155</v>
      </c>
      <c r="N87" s="5"/>
    </row>
    <row r="88" spans="1:14" ht="15.75" x14ac:dyDescent="0.25">
      <c r="A88" s="99">
        <v>2047</v>
      </c>
      <c r="B88" s="57"/>
      <c r="C88" s="6" t="s">
        <v>67</v>
      </c>
      <c r="D88" s="58">
        <f>SUM(D89:D91)</f>
        <v>36778201</v>
      </c>
      <c r="E88" s="58">
        <f t="shared" ref="E88:I88" si="44">SUM(E89:E91)</f>
        <v>0</v>
      </c>
      <c r="F88" s="58">
        <f t="shared" si="44"/>
        <v>0</v>
      </c>
      <c r="G88" s="58">
        <f t="shared" si="44"/>
        <v>0</v>
      </c>
      <c r="H88" s="58">
        <f t="shared" si="44"/>
        <v>5020000</v>
      </c>
      <c r="I88" s="58">
        <f t="shared" si="44"/>
        <v>2911600</v>
      </c>
      <c r="J88" s="82">
        <f t="shared" si="40"/>
        <v>2108400</v>
      </c>
      <c r="K88" s="82">
        <f t="shared" si="41"/>
        <v>38886601</v>
      </c>
      <c r="L88" s="82">
        <f t="shared" ref="L88" si="45">SUM(L89:L91)</f>
        <v>21967633.990000002</v>
      </c>
      <c r="M88" s="100">
        <f t="shared" si="38"/>
        <v>0.56491525165699108</v>
      </c>
      <c r="N88" s="5">
        <f>+K88-[1]Julio!D107</f>
        <v>-156951669</v>
      </c>
    </row>
    <row r="89" spans="1:14" ht="31.5" x14ac:dyDescent="0.25">
      <c r="A89" s="99">
        <v>20473</v>
      </c>
      <c r="B89" s="57">
        <v>20</v>
      </c>
      <c r="C89" s="60" t="s">
        <v>147</v>
      </c>
      <c r="D89" s="58">
        <v>5020000</v>
      </c>
      <c r="E89" s="58">
        <v>0</v>
      </c>
      <c r="F89" s="58">
        <v>0</v>
      </c>
      <c r="G89" s="58">
        <v>0</v>
      </c>
      <c r="H89" s="58">
        <v>5020000</v>
      </c>
      <c r="I89" s="58">
        <v>0</v>
      </c>
      <c r="J89" s="82">
        <f t="shared" si="40"/>
        <v>5020000</v>
      </c>
      <c r="K89" s="82">
        <f t="shared" si="41"/>
        <v>10040000</v>
      </c>
      <c r="L89" s="82">
        <v>7530674</v>
      </c>
      <c r="M89" s="100">
        <f t="shared" si="38"/>
        <v>0.75006713147410353</v>
      </c>
      <c r="N89" s="5"/>
    </row>
    <row r="90" spans="1:14" ht="15.75" x14ac:dyDescent="0.25">
      <c r="A90" s="99">
        <v>20475</v>
      </c>
      <c r="B90" s="57">
        <v>20</v>
      </c>
      <c r="C90" s="6" t="s">
        <v>68</v>
      </c>
      <c r="D90" s="58">
        <v>20413000</v>
      </c>
      <c r="E90" s="58">
        <v>0</v>
      </c>
      <c r="F90" s="58">
        <v>0</v>
      </c>
      <c r="G90" s="58">
        <v>0</v>
      </c>
      <c r="H90" s="58">
        <v>0</v>
      </c>
      <c r="I90" s="58">
        <v>2911600</v>
      </c>
      <c r="J90" s="82">
        <f t="shared" si="40"/>
        <v>-2911600</v>
      </c>
      <c r="K90" s="82">
        <f t="shared" si="41"/>
        <v>17501400</v>
      </c>
      <c r="L90" s="82">
        <v>5294727</v>
      </c>
      <c r="M90" s="100">
        <f t="shared" si="38"/>
        <v>0.30253162604134526</v>
      </c>
      <c r="N90" s="5">
        <f>+K90-[1]Julio!D108</f>
        <v>-15153719</v>
      </c>
    </row>
    <row r="91" spans="1:14" ht="35.25" customHeight="1" x14ac:dyDescent="0.25">
      <c r="A91" s="99">
        <v>20476</v>
      </c>
      <c r="B91" s="57">
        <v>20</v>
      </c>
      <c r="C91" s="6" t="s">
        <v>69</v>
      </c>
      <c r="D91" s="58">
        <v>11345201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82">
        <f t="shared" si="40"/>
        <v>0</v>
      </c>
      <c r="K91" s="82">
        <f t="shared" si="41"/>
        <v>11345201</v>
      </c>
      <c r="L91" s="82">
        <v>9142232.9900000002</v>
      </c>
      <c r="M91" s="100">
        <f t="shared" si="38"/>
        <v>0.80582380074182913</v>
      </c>
      <c r="N91" s="5">
        <f>+K91-[1]Julio!D109</f>
        <v>-151837950</v>
      </c>
    </row>
    <row r="92" spans="1:14" ht="15.75" x14ac:dyDescent="0.25">
      <c r="A92" s="99">
        <v>2048</v>
      </c>
      <c r="B92" s="57"/>
      <c r="C92" s="6" t="s">
        <v>70</v>
      </c>
      <c r="D92" s="58">
        <f>SUM(D93:D96)</f>
        <v>388449984</v>
      </c>
      <c r="E92" s="58">
        <f t="shared" ref="E92:I92" si="46">SUM(E93:E96)</f>
        <v>0</v>
      </c>
      <c r="F92" s="58">
        <f t="shared" si="46"/>
        <v>0</v>
      </c>
      <c r="G92" s="58">
        <f t="shared" si="46"/>
        <v>0</v>
      </c>
      <c r="H92" s="58">
        <f t="shared" si="46"/>
        <v>49012000</v>
      </c>
      <c r="I92" s="58">
        <f t="shared" si="46"/>
        <v>3012000</v>
      </c>
      <c r="J92" s="82">
        <f t="shared" si="40"/>
        <v>46000000</v>
      </c>
      <c r="K92" s="82">
        <f t="shared" si="41"/>
        <v>434449984</v>
      </c>
      <c r="L92" s="82">
        <f t="shared" ref="L92" si="47">SUM(L93:L96)</f>
        <v>408821931.23000002</v>
      </c>
      <c r="M92" s="100">
        <f t="shared" si="38"/>
        <v>0.94101034937545314</v>
      </c>
      <c r="N92" s="5">
        <f>+K92-[1]Julio!D110</f>
        <v>173218634</v>
      </c>
    </row>
    <row r="93" spans="1:14" ht="31.5" x14ac:dyDescent="0.25">
      <c r="A93" s="99">
        <v>20481</v>
      </c>
      <c r="B93" s="57">
        <v>20</v>
      </c>
      <c r="C93" s="6" t="s">
        <v>71</v>
      </c>
      <c r="D93" s="58">
        <v>702800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82">
        <f t="shared" si="40"/>
        <v>0</v>
      </c>
      <c r="K93" s="82">
        <f t="shared" si="41"/>
        <v>702800</v>
      </c>
      <c r="L93" s="82">
        <v>611430</v>
      </c>
      <c r="M93" s="100">
        <f t="shared" si="38"/>
        <v>0.86999146272054639</v>
      </c>
      <c r="N93" s="5">
        <f>+K93-[1]Julio!D111</f>
        <v>-9339018</v>
      </c>
    </row>
    <row r="94" spans="1:14" ht="15.75" x14ac:dyDescent="0.25">
      <c r="A94" s="99">
        <v>20482</v>
      </c>
      <c r="B94" s="57">
        <v>20</v>
      </c>
      <c r="C94" s="6" t="s">
        <v>72</v>
      </c>
      <c r="D94" s="58">
        <v>351400000</v>
      </c>
      <c r="E94" s="58">
        <v>0</v>
      </c>
      <c r="F94" s="58">
        <v>0</v>
      </c>
      <c r="G94" s="58">
        <v>0</v>
      </c>
      <c r="H94" s="58">
        <v>46000000</v>
      </c>
      <c r="I94" s="58">
        <v>3012000</v>
      </c>
      <c r="J94" s="82">
        <f t="shared" si="40"/>
        <v>42988000</v>
      </c>
      <c r="K94" s="82">
        <f t="shared" si="41"/>
        <v>394388000</v>
      </c>
      <c r="L94" s="82">
        <v>370860657</v>
      </c>
      <c r="M94" s="100">
        <f t="shared" si="38"/>
        <v>0.94034467833706903</v>
      </c>
      <c r="N94" s="5">
        <f>+K94-[1]Julio!D112</f>
        <v>233747720</v>
      </c>
    </row>
    <row r="95" spans="1:14" ht="15.75" x14ac:dyDescent="0.25">
      <c r="A95" s="99">
        <v>20485</v>
      </c>
      <c r="B95" s="57">
        <v>20</v>
      </c>
      <c r="C95" s="6" t="s">
        <v>73</v>
      </c>
      <c r="D95" s="58">
        <v>16064000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82">
        <f t="shared" si="40"/>
        <v>0</v>
      </c>
      <c r="K95" s="82">
        <f t="shared" si="41"/>
        <v>16064000</v>
      </c>
      <c r="L95" s="82">
        <v>14691445.23</v>
      </c>
      <c r="M95" s="100">
        <f t="shared" si="38"/>
        <v>0.91455709848107569</v>
      </c>
      <c r="N95" s="5">
        <f>+K95-[1]Julio!D113</f>
        <v>-14119084</v>
      </c>
    </row>
    <row r="96" spans="1:14" ht="15.75" x14ac:dyDescent="0.25">
      <c r="A96" s="99">
        <v>20486</v>
      </c>
      <c r="B96" s="57">
        <v>20</v>
      </c>
      <c r="C96" s="6" t="s">
        <v>74</v>
      </c>
      <c r="D96" s="58">
        <v>20283184</v>
      </c>
      <c r="E96" s="58">
        <v>0</v>
      </c>
      <c r="F96" s="58">
        <v>0</v>
      </c>
      <c r="G96" s="58">
        <v>0</v>
      </c>
      <c r="H96" s="58">
        <v>3012000</v>
      </c>
      <c r="I96" s="58">
        <v>0</v>
      </c>
      <c r="J96" s="82">
        <f t="shared" si="40"/>
        <v>3012000</v>
      </c>
      <c r="K96" s="82">
        <f>D96+J96</f>
        <v>23295184</v>
      </c>
      <c r="L96" s="82">
        <v>22658399</v>
      </c>
      <c r="M96" s="100">
        <f t="shared" si="38"/>
        <v>0.97266452155947769</v>
      </c>
      <c r="N96" s="5">
        <f>+K96-[1]Julio!D114</f>
        <v>-37070984</v>
      </c>
    </row>
    <row r="97" spans="1:52" ht="15.75" x14ac:dyDescent="0.25">
      <c r="A97" s="99">
        <v>2049</v>
      </c>
      <c r="B97" s="57"/>
      <c r="C97" s="6" t="s">
        <v>75</v>
      </c>
      <c r="D97" s="58">
        <f>SUM(D98:D100)</f>
        <v>103094678</v>
      </c>
      <c r="E97" s="58">
        <f t="shared" ref="E97:G97" si="48">SUM(E98:E100)</f>
        <v>0</v>
      </c>
      <c r="F97" s="58">
        <f t="shared" si="48"/>
        <v>0</v>
      </c>
      <c r="G97" s="58">
        <f t="shared" si="48"/>
        <v>0</v>
      </c>
      <c r="H97" s="58">
        <f>SUM(H98:H100)</f>
        <v>170000000</v>
      </c>
      <c r="I97" s="58">
        <f>SUM(I98:I100)</f>
        <v>110272400</v>
      </c>
      <c r="J97" s="82">
        <f t="shared" si="40"/>
        <v>59727600</v>
      </c>
      <c r="K97" s="82">
        <f>D97+J97</f>
        <v>162822278</v>
      </c>
      <c r="L97" s="82">
        <f t="shared" ref="L97" si="49">SUM(L98:L100)</f>
        <v>81397037</v>
      </c>
      <c r="M97" s="100">
        <f t="shared" si="38"/>
        <v>0.49991339023029763</v>
      </c>
      <c r="N97" s="5">
        <f>+K97-[1]Julio!D115</f>
        <v>-440569267</v>
      </c>
    </row>
    <row r="98" spans="1:52" ht="39" customHeight="1" x14ac:dyDescent="0.25">
      <c r="A98" s="99">
        <v>20495</v>
      </c>
      <c r="B98" s="57">
        <v>20</v>
      </c>
      <c r="C98" s="6" t="s">
        <v>76</v>
      </c>
      <c r="D98" s="58">
        <v>52906182</v>
      </c>
      <c r="E98" s="58">
        <v>0</v>
      </c>
      <c r="F98" s="58">
        <v>0</v>
      </c>
      <c r="G98" s="58">
        <v>0</v>
      </c>
      <c r="H98" s="58">
        <v>73174000</v>
      </c>
      <c r="I98" s="58">
        <f>8500000+40000000+10040000</f>
        <v>58540000</v>
      </c>
      <c r="J98" s="82">
        <f t="shared" si="40"/>
        <v>14634000</v>
      </c>
      <c r="K98" s="82">
        <f t="shared" si="41"/>
        <v>67540182</v>
      </c>
      <c r="L98" s="82">
        <v>23153818</v>
      </c>
      <c r="M98" s="100">
        <f t="shared" si="38"/>
        <v>0.3428154516965915</v>
      </c>
      <c r="N98" s="5">
        <f>+K98-[1]Julio!D116</f>
        <v>7300077</v>
      </c>
      <c r="AZ98" s="7"/>
    </row>
    <row r="99" spans="1:52" ht="15.75" x14ac:dyDescent="0.25">
      <c r="A99" s="99">
        <v>204911</v>
      </c>
      <c r="B99" s="57">
        <v>20</v>
      </c>
      <c r="C99" s="6" t="s">
        <v>77</v>
      </c>
      <c r="D99" s="58">
        <v>31022758</v>
      </c>
      <c r="E99" s="58">
        <v>0</v>
      </c>
      <c r="F99" s="58">
        <v>0</v>
      </c>
      <c r="G99" s="58">
        <v>0</v>
      </c>
      <c r="H99" s="58">
        <f>10000000+27491000</f>
        <v>37491000</v>
      </c>
      <c r="I99" s="58">
        <f>18172400</f>
        <v>18172400</v>
      </c>
      <c r="J99" s="82">
        <f t="shared" si="40"/>
        <v>19318600</v>
      </c>
      <c r="K99" s="82">
        <f t="shared" si="41"/>
        <v>50341358</v>
      </c>
      <c r="L99" s="82">
        <v>44214793</v>
      </c>
      <c r="M99" s="100">
        <f t="shared" si="38"/>
        <v>0.87829956831915423</v>
      </c>
      <c r="N99" s="5">
        <f>+K99-[1]Julio!D117</f>
        <v>-40904242</v>
      </c>
    </row>
    <row r="100" spans="1:52" ht="15.75" x14ac:dyDescent="0.25">
      <c r="A100" s="99">
        <v>204913</v>
      </c>
      <c r="B100" s="57">
        <v>20</v>
      </c>
      <c r="C100" s="6" t="s">
        <v>78</v>
      </c>
      <c r="D100" s="58">
        <v>19165738</v>
      </c>
      <c r="E100" s="58">
        <v>0</v>
      </c>
      <c r="F100" s="58">
        <v>0</v>
      </c>
      <c r="G100" s="58">
        <v>0</v>
      </c>
      <c r="H100" s="58">
        <v>59335000</v>
      </c>
      <c r="I100" s="58">
        <f>8500000+10000000+15060000</f>
        <v>33560000</v>
      </c>
      <c r="J100" s="82">
        <f t="shared" si="40"/>
        <v>25775000</v>
      </c>
      <c r="K100" s="82">
        <f t="shared" si="41"/>
        <v>44940738</v>
      </c>
      <c r="L100" s="82">
        <v>14028426</v>
      </c>
      <c r="M100" s="100">
        <f t="shared" si="38"/>
        <v>0.31215388585741516</v>
      </c>
      <c r="N100" s="5">
        <f>+K100-[1]Julio!D118</f>
        <v>-406965102</v>
      </c>
    </row>
    <row r="101" spans="1:52" ht="15.75" x14ac:dyDescent="0.25">
      <c r="A101" s="99">
        <v>20410</v>
      </c>
      <c r="B101" s="57"/>
      <c r="C101" s="6" t="s">
        <v>79</v>
      </c>
      <c r="D101" s="58">
        <f>+D102+D103</f>
        <v>10040000</v>
      </c>
      <c r="E101" s="58">
        <f t="shared" ref="E101:I101" si="50">+E102+E103</f>
        <v>0</v>
      </c>
      <c r="F101" s="58">
        <f t="shared" si="50"/>
        <v>0</v>
      </c>
      <c r="G101" s="58">
        <f t="shared" si="50"/>
        <v>0</v>
      </c>
      <c r="H101" s="58">
        <f t="shared" si="50"/>
        <v>55000000</v>
      </c>
      <c r="I101" s="58">
        <f t="shared" si="50"/>
        <v>0</v>
      </c>
      <c r="J101" s="82">
        <f t="shared" si="40"/>
        <v>55000000</v>
      </c>
      <c r="K101" s="82">
        <f t="shared" si="41"/>
        <v>65040000</v>
      </c>
      <c r="L101" s="82">
        <f t="shared" ref="L101" si="51">+L102+L103</f>
        <v>60259083</v>
      </c>
      <c r="M101" s="100">
        <f t="shared" si="38"/>
        <v>0.92649266605166047</v>
      </c>
      <c r="N101" s="5">
        <f>+K101-[1]Julio!D119</f>
        <v>-2705679847</v>
      </c>
    </row>
    <row r="102" spans="1:52" ht="15.75" x14ac:dyDescent="0.25">
      <c r="A102" s="99">
        <v>204101</v>
      </c>
      <c r="B102" s="57">
        <v>20</v>
      </c>
      <c r="C102" s="6" t="s">
        <v>153</v>
      </c>
      <c r="D102" s="58">
        <v>10040000</v>
      </c>
      <c r="E102" s="58">
        <v>0</v>
      </c>
      <c r="F102" s="58">
        <v>0</v>
      </c>
      <c r="G102" s="58">
        <v>0</v>
      </c>
      <c r="H102" s="58">
        <f>40000000+15000000</f>
        <v>55000000</v>
      </c>
      <c r="I102" s="58">
        <v>0</v>
      </c>
      <c r="J102" s="82">
        <f t="shared" si="40"/>
        <v>55000000</v>
      </c>
      <c r="K102" s="82">
        <f t="shared" si="41"/>
        <v>65040000</v>
      </c>
      <c r="L102" s="82">
        <v>60259083</v>
      </c>
      <c r="M102" s="100">
        <f t="shared" si="38"/>
        <v>0.92649266605166047</v>
      </c>
      <c r="N102" s="5">
        <f>+K102-[1]Julio!D120</f>
        <v>39935454</v>
      </c>
    </row>
    <row r="103" spans="1:52" ht="31.5" x14ac:dyDescent="0.25">
      <c r="A103" s="99">
        <v>204102</v>
      </c>
      <c r="B103" s="57">
        <v>21</v>
      </c>
      <c r="C103" s="6" t="s">
        <v>80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82">
        <f t="shared" si="40"/>
        <v>0</v>
      </c>
      <c r="K103" s="82">
        <f t="shared" si="41"/>
        <v>0</v>
      </c>
      <c r="L103" s="82">
        <v>0</v>
      </c>
      <c r="M103" s="100" t="s">
        <v>155</v>
      </c>
      <c r="N103" s="5">
        <f>+K103-[1]Julio!D121</f>
        <v>-2745615301</v>
      </c>
    </row>
    <row r="104" spans="1:52" ht="15.75" x14ac:dyDescent="0.25">
      <c r="A104" s="99">
        <v>20411</v>
      </c>
      <c r="B104" s="57"/>
      <c r="C104" s="6" t="s">
        <v>81</v>
      </c>
      <c r="D104" s="58">
        <f>+D105+D106</f>
        <v>303177035</v>
      </c>
      <c r="E104" s="58">
        <f t="shared" ref="E104:I104" si="52">+E105+E106</f>
        <v>0</v>
      </c>
      <c r="F104" s="58">
        <f t="shared" si="52"/>
        <v>0</v>
      </c>
      <c r="G104" s="58">
        <f t="shared" si="52"/>
        <v>0</v>
      </c>
      <c r="H104" s="58">
        <f t="shared" si="52"/>
        <v>100000000</v>
      </c>
      <c r="I104" s="58">
        <f t="shared" si="52"/>
        <v>50000000</v>
      </c>
      <c r="J104" s="82">
        <f t="shared" si="40"/>
        <v>50000000</v>
      </c>
      <c r="K104" s="82">
        <f t="shared" si="41"/>
        <v>353177035</v>
      </c>
      <c r="L104" s="82">
        <f t="shared" ref="L104" si="53">+L105+L106</f>
        <v>298728023.16999996</v>
      </c>
      <c r="M104" s="100">
        <f t="shared" si="38"/>
        <v>0.84583082580666646</v>
      </c>
      <c r="N104" s="5">
        <f>+K104-[1]Julio!D122</f>
        <v>-1526802156</v>
      </c>
    </row>
    <row r="105" spans="1:52" ht="31.5" x14ac:dyDescent="0.25">
      <c r="A105" s="99">
        <v>204111</v>
      </c>
      <c r="B105" s="57">
        <v>20</v>
      </c>
      <c r="C105" s="6" t="s">
        <v>82</v>
      </c>
      <c r="D105" s="58">
        <v>11264398</v>
      </c>
      <c r="E105" s="58">
        <v>0</v>
      </c>
      <c r="F105" s="58">
        <v>0</v>
      </c>
      <c r="G105" s="58">
        <v>0</v>
      </c>
      <c r="H105" s="58">
        <v>50000000</v>
      </c>
      <c r="I105" s="58"/>
      <c r="J105" s="82">
        <f t="shared" si="40"/>
        <v>50000000</v>
      </c>
      <c r="K105" s="82">
        <f t="shared" si="41"/>
        <v>61264398</v>
      </c>
      <c r="L105" s="82">
        <v>57635817</v>
      </c>
      <c r="M105" s="100">
        <f t="shared" si="38"/>
        <v>0.94077178396497096</v>
      </c>
      <c r="N105" s="5">
        <f>+K105-[1]Julio!D123</f>
        <v>-89795094</v>
      </c>
    </row>
    <row r="106" spans="1:52" ht="31.5" x14ac:dyDescent="0.25">
      <c r="A106" s="99">
        <v>204112</v>
      </c>
      <c r="B106" s="57">
        <v>20</v>
      </c>
      <c r="C106" s="6" t="s">
        <v>83</v>
      </c>
      <c r="D106" s="58">
        <v>291912637</v>
      </c>
      <c r="E106" s="58">
        <v>0</v>
      </c>
      <c r="F106" s="58">
        <v>0</v>
      </c>
      <c r="G106" s="58">
        <v>0</v>
      </c>
      <c r="H106" s="58">
        <v>50000000</v>
      </c>
      <c r="I106" s="58">
        <v>50000000</v>
      </c>
      <c r="J106" s="82">
        <f t="shared" si="40"/>
        <v>0</v>
      </c>
      <c r="K106" s="82">
        <f t="shared" si="41"/>
        <v>291912637</v>
      </c>
      <c r="L106" s="82">
        <v>241092206.16999999</v>
      </c>
      <c r="M106" s="100">
        <f t="shared" si="38"/>
        <v>0.82590534156971074</v>
      </c>
      <c r="N106" s="5">
        <f>+K106-[1]Julio!D124</f>
        <v>-1437007062</v>
      </c>
    </row>
    <row r="107" spans="1:52" ht="15.75" x14ac:dyDescent="0.25">
      <c r="A107" s="99">
        <v>20414</v>
      </c>
      <c r="B107" s="57">
        <v>20</v>
      </c>
      <c r="C107" s="6" t="s">
        <v>84</v>
      </c>
      <c r="D107" s="58">
        <v>100434827</v>
      </c>
      <c r="E107" s="58">
        <v>0</v>
      </c>
      <c r="F107" s="58">
        <v>0</v>
      </c>
      <c r="G107" s="58">
        <v>0</v>
      </c>
      <c r="H107" s="58">
        <v>0</v>
      </c>
      <c r="I107" s="58">
        <v>95731400</v>
      </c>
      <c r="J107" s="82">
        <f t="shared" si="40"/>
        <v>-95731400</v>
      </c>
      <c r="K107" s="82">
        <f t="shared" si="41"/>
        <v>4703427</v>
      </c>
      <c r="L107" s="82">
        <v>1102197</v>
      </c>
      <c r="M107" s="100">
        <f t="shared" si="38"/>
        <v>0.23433913187129299</v>
      </c>
      <c r="N107" s="5">
        <f>+K107-[1]Julio!D125</f>
        <v>-15376608</v>
      </c>
    </row>
    <row r="108" spans="1:52" ht="31.5" x14ac:dyDescent="0.25">
      <c r="A108" s="99">
        <v>20421</v>
      </c>
      <c r="B108" s="57"/>
      <c r="C108" s="6" t="s">
        <v>85</v>
      </c>
      <c r="D108" s="58">
        <f>+D109+D110+D111</f>
        <v>184684919</v>
      </c>
      <c r="E108" s="58">
        <f t="shared" ref="E108:H108" si="54">+E109+E110+E111</f>
        <v>0</v>
      </c>
      <c r="F108" s="58">
        <f t="shared" si="54"/>
        <v>0</v>
      </c>
      <c r="G108" s="58">
        <f t="shared" si="54"/>
        <v>0</v>
      </c>
      <c r="H108" s="58">
        <f t="shared" si="54"/>
        <v>0</v>
      </c>
      <c r="I108" s="58">
        <f>+I109+I110+I111</f>
        <v>0</v>
      </c>
      <c r="J108" s="82">
        <f t="shared" si="40"/>
        <v>0</v>
      </c>
      <c r="K108" s="82">
        <f t="shared" si="41"/>
        <v>184684919</v>
      </c>
      <c r="L108" s="82">
        <f t="shared" ref="L108" si="55">+L109+L110+L111</f>
        <v>177718808</v>
      </c>
      <c r="M108" s="100">
        <f t="shared" si="38"/>
        <v>0.96228110536735267</v>
      </c>
      <c r="N108" s="5">
        <f>+K108-[1]Julio!D126</f>
        <v>-588582529</v>
      </c>
    </row>
    <row r="109" spans="1:52" ht="15.75" x14ac:dyDescent="0.25">
      <c r="A109" s="99">
        <v>204213</v>
      </c>
      <c r="B109" s="57">
        <v>20</v>
      </c>
      <c r="C109" s="6" t="s">
        <v>139</v>
      </c>
      <c r="D109" s="58">
        <v>11647005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82">
        <f t="shared" si="40"/>
        <v>0</v>
      </c>
      <c r="K109" s="82">
        <f t="shared" si="41"/>
        <v>11647005</v>
      </c>
      <c r="L109" s="82">
        <v>11038414</v>
      </c>
      <c r="M109" s="100">
        <f t="shared" si="38"/>
        <v>0.94774699590152145</v>
      </c>
      <c r="N109" s="5"/>
    </row>
    <row r="110" spans="1:52" ht="15.75" x14ac:dyDescent="0.25">
      <c r="A110" s="99">
        <v>204214</v>
      </c>
      <c r="B110" s="57">
        <v>20</v>
      </c>
      <c r="C110" s="6" t="s">
        <v>86</v>
      </c>
      <c r="D110" s="58">
        <v>130221080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82">
        <f t="shared" si="40"/>
        <v>0</v>
      </c>
      <c r="K110" s="82">
        <f t="shared" si="41"/>
        <v>130221080</v>
      </c>
      <c r="L110" s="82">
        <v>128456209</v>
      </c>
      <c r="M110" s="100">
        <f t="shared" si="38"/>
        <v>0.98644711747130343</v>
      </c>
      <c r="N110" s="5" t="e">
        <f>+K110-[1]Julio!D127</f>
        <v>#REF!</v>
      </c>
    </row>
    <row r="111" spans="1:52" ht="15.75" x14ac:dyDescent="0.25">
      <c r="A111" s="99">
        <v>204215</v>
      </c>
      <c r="B111" s="57">
        <v>20</v>
      </c>
      <c r="C111" s="6" t="s">
        <v>140</v>
      </c>
      <c r="D111" s="58">
        <v>42816834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82">
        <f t="shared" si="40"/>
        <v>0</v>
      </c>
      <c r="K111" s="82">
        <f t="shared" si="41"/>
        <v>42816834</v>
      </c>
      <c r="L111" s="82">
        <v>38224185</v>
      </c>
      <c r="M111" s="100">
        <f t="shared" si="38"/>
        <v>0.89273730514498106</v>
      </c>
      <c r="N111" s="5">
        <f>+K111-[1]Julio!D128</f>
        <v>-559569246</v>
      </c>
    </row>
    <row r="112" spans="1:52" ht="15.75" x14ac:dyDescent="0.25">
      <c r="A112" s="99">
        <v>20422</v>
      </c>
      <c r="B112" s="57"/>
      <c r="C112" s="6" t="s">
        <v>141</v>
      </c>
      <c r="D112" s="58">
        <f>+D113</f>
        <v>514771</v>
      </c>
      <c r="E112" s="58">
        <f t="shared" ref="E112:I112" si="56">+E113</f>
        <v>0</v>
      </c>
      <c r="F112" s="58">
        <f t="shared" si="56"/>
        <v>0</v>
      </c>
      <c r="G112" s="58">
        <f t="shared" si="56"/>
        <v>0</v>
      </c>
      <c r="H112" s="58">
        <f t="shared" si="56"/>
        <v>5020000</v>
      </c>
      <c r="I112" s="58">
        <f t="shared" si="56"/>
        <v>0</v>
      </c>
      <c r="J112" s="82">
        <f t="shared" si="40"/>
        <v>5020000</v>
      </c>
      <c r="K112" s="82">
        <f t="shared" si="41"/>
        <v>5534771</v>
      </c>
      <c r="L112" s="82">
        <f t="shared" ref="L112" si="57">+L113</f>
        <v>3282782.79</v>
      </c>
      <c r="M112" s="100">
        <f t="shared" si="38"/>
        <v>0.59311989421061861</v>
      </c>
      <c r="N112" s="5"/>
    </row>
    <row r="113" spans="1:14" ht="15.75" x14ac:dyDescent="0.25">
      <c r="A113" s="99">
        <v>204221</v>
      </c>
      <c r="B113" s="57">
        <v>20</v>
      </c>
      <c r="C113" s="6" t="s">
        <v>142</v>
      </c>
      <c r="D113" s="58">
        <v>514771</v>
      </c>
      <c r="E113" s="58">
        <v>0</v>
      </c>
      <c r="F113" s="58">
        <v>0</v>
      </c>
      <c r="G113" s="58">
        <v>0</v>
      </c>
      <c r="H113" s="58">
        <v>5020000</v>
      </c>
      <c r="I113" s="58">
        <v>0</v>
      </c>
      <c r="J113" s="82">
        <f t="shared" si="40"/>
        <v>5020000</v>
      </c>
      <c r="K113" s="82">
        <f t="shared" si="41"/>
        <v>5534771</v>
      </c>
      <c r="L113" s="82">
        <v>3282782.79</v>
      </c>
      <c r="M113" s="100">
        <f t="shared" si="38"/>
        <v>0.59311989421061861</v>
      </c>
      <c r="N113" s="5"/>
    </row>
    <row r="114" spans="1:14" ht="31.5" x14ac:dyDescent="0.25">
      <c r="A114" s="99">
        <v>20441</v>
      </c>
      <c r="B114" s="57"/>
      <c r="C114" s="6" t="s">
        <v>87</v>
      </c>
      <c r="D114" s="58">
        <f>+D115</f>
        <v>130932429</v>
      </c>
      <c r="E114" s="58">
        <f t="shared" ref="E114:I114" si="58">+E115</f>
        <v>0</v>
      </c>
      <c r="F114" s="58">
        <f t="shared" si="58"/>
        <v>0</v>
      </c>
      <c r="G114" s="58">
        <f t="shared" si="58"/>
        <v>0</v>
      </c>
      <c r="H114" s="58">
        <f t="shared" si="58"/>
        <v>36144000</v>
      </c>
      <c r="I114" s="58">
        <f t="shared" si="58"/>
        <v>0</v>
      </c>
      <c r="J114" s="82">
        <f t="shared" si="40"/>
        <v>36144000</v>
      </c>
      <c r="K114" s="82">
        <f t="shared" si="41"/>
        <v>167076429</v>
      </c>
      <c r="L114" s="82">
        <f t="shared" ref="L114" si="59">+L115</f>
        <v>161480028.62</v>
      </c>
      <c r="M114" s="100">
        <f t="shared" si="38"/>
        <v>0.96650395023704994</v>
      </c>
      <c r="N114" s="5">
        <f>+K114-[1]Julio!D132</f>
        <v>-973624508</v>
      </c>
    </row>
    <row r="115" spans="1:14" ht="31.5" x14ac:dyDescent="0.25">
      <c r="A115" s="99">
        <v>2044113</v>
      </c>
      <c r="B115" s="57">
        <v>20</v>
      </c>
      <c r="C115" s="6" t="s">
        <v>87</v>
      </c>
      <c r="D115" s="58">
        <v>130932429</v>
      </c>
      <c r="E115" s="58">
        <v>0</v>
      </c>
      <c r="F115" s="58">
        <v>0</v>
      </c>
      <c r="G115" s="58">
        <v>0</v>
      </c>
      <c r="H115" s="58">
        <v>36144000</v>
      </c>
      <c r="I115" s="58">
        <v>0</v>
      </c>
      <c r="J115" s="82">
        <f t="shared" si="40"/>
        <v>36144000</v>
      </c>
      <c r="K115" s="82">
        <f t="shared" si="41"/>
        <v>167076429</v>
      </c>
      <c r="L115" s="82">
        <v>161480028.62</v>
      </c>
      <c r="M115" s="100">
        <f t="shared" si="38"/>
        <v>0.96650395023704994</v>
      </c>
      <c r="N115" s="5">
        <f>+K115-[1]Julio!D133</f>
        <v>-973624508</v>
      </c>
    </row>
    <row r="116" spans="1:14" ht="15.75" x14ac:dyDescent="0.25">
      <c r="A116" s="99">
        <v>3</v>
      </c>
      <c r="B116" s="57"/>
      <c r="C116" s="6" t="s">
        <v>88</v>
      </c>
      <c r="D116" s="58">
        <f>+D117+D121</f>
        <v>4940400000</v>
      </c>
      <c r="E116" s="58">
        <f t="shared" ref="E116:G116" si="60">+E117+E121</f>
        <v>0</v>
      </c>
      <c r="F116" s="58">
        <f t="shared" si="60"/>
        <v>0</v>
      </c>
      <c r="G116" s="58">
        <f t="shared" si="60"/>
        <v>0</v>
      </c>
      <c r="H116" s="58">
        <f>+H117+H121</f>
        <v>3561969915</v>
      </c>
      <c r="I116" s="58">
        <f>+I117+I121</f>
        <v>3603100000</v>
      </c>
      <c r="J116" s="82">
        <f t="shared" si="40"/>
        <v>-41130085</v>
      </c>
      <c r="K116" s="82">
        <f t="shared" si="41"/>
        <v>4899269915</v>
      </c>
      <c r="L116" s="82">
        <f>+L117+L121</f>
        <v>4693882088.1999998</v>
      </c>
      <c r="M116" s="100">
        <f t="shared" si="38"/>
        <v>0.95807787071066075</v>
      </c>
      <c r="N116" s="5">
        <f>+K116-[1]Julio!D134</f>
        <v>-11083530085</v>
      </c>
    </row>
    <row r="117" spans="1:14" ht="15.75" x14ac:dyDescent="0.25">
      <c r="A117" s="99">
        <v>32</v>
      </c>
      <c r="B117" s="57"/>
      <c r="C117" s="6" t="s">
        <v>89</v>
      </c>
      <c r="D117" s="58">
        <f>+D118</f>
        <v>1516400000</v>
      </c>
      <c r="E117" s="58">
        <f t="shared" ref="E117:I117" si="61">+E118</f>
        <v>0</v>
      </c>
      <c r="F117" s="58">
        <f t="shared" si="61"/>
        <v>0</v>
      </c>
      <c r="G117" s="58">
        <f t="shared" si="61"/>
        <v>0</v>
      </c>
      <c r="H117" s="58">
        <f t="shared" si="61"/>
        <v>0</v>
      </c>
      <c r="I117" s="58">
        <f t="shared" si="61"/>
        <v>179100000</v>
      </c>
      <c r="J117" s="82">
        <f t="shared" si="40"/>
        <v>-179100000</v>
      </c>
      <c r="K117" s="82">
        <f t="shared" si="41"/>
        <v>1337300000</v>
      </c>
      <c r="L117" s="82">
        <f t="shared" ref="L117" si="62">+L118</f>
        <v>1225060705</v>
      </c>
      <c r="M117" s="100">
        <f t="shared" si="38"/>
        <v>0.91607021984595827</v>
      </c>
      <c r="N117" s="5">
        <f>+K117-[1]Julio!D135</f>
        <v>-5754500000</v>
      </c>
    </row>
    <row r="118" spans="1:14" ht="15.75" x14ac:dyDescent="0.25">
      <c r="A118" s="99">
        <v>321</v>
      </c>
      <c r="B118" s="57"/>
      <c r="C118" s="6" t="s">
        <v>90</v>
      </c>
      <c r="D118" s="58">
        <f>+D119+D120</f>
        <v>1516400000</v>
      </c>
      <c r="E118" s="58">
        <f t="shared" ref="E118:I118" si="63">+E119+E120</f>
        <v>0</v>
      </c>
      <c r="F118" s="58">
        <f t="shared" si="63"/>
        <v>0</v>
      </c>
      <c r="G118" s="58">
        <f t="shared" si="63"/>
        <v>0</v>
      </c>
      <c r="H118" s="58">
        <f t="shared" si="63"/>
        <v>0</v>
      </c>
      <c r="I118" s="58">
        <f t="shared" si="63"/>
        <v>179100000</v>
      </c>
      <c r="J118" s="82">
        <f t="shared" si="40"/>
        <v>-179100000</v>
      </c>
      <c r="K118" s="82">
        <f t="shared" si="41"/>
        <v>1337300000</v>
      </c>
      <c r="L118" s="82">
        <f t="shared" ref="L118" si="64">+L119+L120</f>
        <v>1225060705</v>
      </c>
      <c r="M118" s="100">
        <f t="shared" si="38"/>
        <v>0.91607021984595827</v>
      </c>
      <c r="N118" s="5">
        <f>+K118-[1]Julio!D136</f>
        <v>-5754500000</v>
      </c>
    </row>
    <row r="119" spans="1:14" ht="15.75" x14ac:dyDescent="0.25">
      <c r="A119" s="99">
        <v>3211</v>
      </c>
      <c r="B119" s="57">
        <v>11</v>
      </c>
      <c r="C119" s="6" t="s">
        <v>91</v>
      </c>
      <c r="D119" s="58">
        <v>1337300000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82">
        <f t="shared" si="40"/>
        <v>0</v>
      </c>
      <c r="K119" s="82">
        <f t="shared" si="41"/>
        <v>1337300000</v>
      </c>
      <c r="L119" s="82">
        <v>1225060705</v>
      </c>
      <c r="M119" s="100">
        <f t="shared" si="38"/>
        <v>0.91607021984595827</v>
      </c>
      <c r="N119" s="5">
        <f>+K119-[1]Julio!D137</f>
        <v>-4338400000</v>
      </c>
    </row>
    <row r="120" spans="1:14" ht="15.75" x14ac:dyDescent="0.25">
      <c r="A120" s="99">
        <v>3211</v>
      </c>
      <c r="B120" s="57">
        <v>20</v>
      </c>
      <c r="C120" s="6" t="s">
        <v>91</v>
      </c>
      <c r="D120" s="58">
        <v>179100000</v>
      </c>
      <c r="E120" s="58">
        <v>0</v>
      </c>
      <c r="F120" s="58">
        <v>0</v>
      </c>
      <c r="G120" s="58">
        <v>0</v>
      </c>
      <c r="H120" s="58">
        <v>0</v>
      </c>
      <c r="I120" s="58">
        <v>179100000</v>
      </c>
      <c r="J120" s="82">
        <f t="shared" si="40"/>
        <v>-179100000</v>
      </c>
      <c r="K120" s="82">
        <f t="shared" si="41"/>
        <v>0</v>
      </c>
      <c r="L120" s="82">
        <v>0</v>
      </c>
      <c r="M120" s="100" t="s">
        <v>155</v>
      </c>
      <c r="N120" s="5">
        <f>+K120-[1]Julio!D138</f>
        <v>-1416100000</v>
      </c>
    </row>
    <row r="121" spans="1:14" ht="15.75" x14ac:dyDescent="0.25">
      <c r="A121" s="99">
        <v>36</v>
      </c>
      <c r="B121" s="57"/>
      <c r="C121" s="6" t="s">
        <v>92</v>
      </c>
      <c r="D121" s="58">
        <f>+D122+D124</f>
        <v>3424000000</v>
      </c>
      <c r="E121" s="58">
        <f t="shared" ref="E121:I121" si="65">+E122+E124</f>
        <v>0</v>
      </c>
      <c r="F121" s="58">
        <f t="shared" si="65"/>
        <v>0</v>
      </c>
      <c r="G121" s="58">
        <f t="shared" si="65"/>
        <v>0</v>
      </c>
      <c r="H121" s="58">
        <f t="shared" si="65"/>
        <v>3561969915</v>
      </c>
      <c r="I121" s="58">
        <f t="shared" si="65"/>
        <v>3424000000</v>
      </c>
      <c r="J121" s="82">
        <f t="shared" si="40"/>
        <v>137969915</v>
      </c>
      <c r="K121" s="82">
        <f t="shared" si="41"/>
        <v>3561969915</v>
      </c>
      <c r="L121" s="82">
        <f>+L122+L124</f>
        <v>3468821383.1999998</v>
      </c>
      <c r="M121" s="100">
        <f t="shared" si="38"/>
        <v>0.97384915256927429</v>
      </c>
      <c r="N121" s="5">
        <f>+K121-[1]Julio!D139</f>
        <v>-5329030085</v>
      </c>
    </row>
    <row r="122" spans="1:14" ht="15.75" x14ac:dyDescent="0.25">
      <c r="A122" s="99">
        <v>361</v>
      </c>
      <c r="B122" s="57"/>
      <c r="C122" s="6" t="s">
        <v>93</v>
      </c>
      <c r="D122" s="58">
        <f>+D123</f>
        <v>0</v>
      </c>
      <c r="E122" s="58">
        <f t="shared" ref="E122:I122" si="66">+E123</f>
        <v>0</v>
      </c>
      <c r="F122" s="58">
        <f t="shared" si="66"/>
        <v>0</v>
      </c>
      <c r="G122" s="58">
        <f t="shared" si="66"/>
        <v>0</v>
      </c>
      <c r="H122" s="58">
        <f t="shared" si="66"/>
        <v>3561969915</v>
      </c>
      <c r="I122" s="58">
        <f t="shared" si="66"/>
        <v>0</v>
      </c>
      <c r="J122" s="82">
        <f t="shared" si="40"/>
        <v>3561969915</v>
      </c>
      <c r="K122" s="82">
        <f t="shared" si="41"/>
        <v>3561969915</v>
      </c>
      <c r="L122" s="82">
        <f t="shared" ref="L122" si="67">+L123</f>
        <v>3468821383.1999998</v>
      </c>
      <c r="M122" s="100">
        <f t="shared" si="38"/>
        <v>0.97384915256927429</v>
      </c>
      <c r="N122" s="5">
        <f>+K122-[1]Agosto!D149</f>
        <v>-5329030085</v>
      </c>
    </row>
    <row r="123" spans="1:14" ht="15.75" x14ac:dyDescent="0.25">
      <c r="A123" s="99">
        <v>3611</v>
      </c>
      <c r="B123" s="57">
        <v>20</v>
      </c>
      <c r="C123" s="6" t="s">
        <v>93</v>
      </c>
      <c r="D123" s="58">
        <v>0</v>
      </c>
      <c r="E123" s="58">
        <v>0</v>
      </c>
      <c r="F123" s="58">
        <v>0</v>
      </c>
      <c r="G123" s="58">
        <v>0</v>
      </c>
      <c r="H123" s="58">
        <v>3561969915</v>
      </c>
      <c r="I123" s="58">
        <v>0</v>
      </c>
      <c r="J123" s="82">
        <f t="shared" si="40"/>
        <v>3561969915</v>
      </c>
      <c r="K123" s="82">
        <f t="shared" si="41"/>
        <v>3561969915</v>
      </c>
      <c r="L123" s="82">
        <v>3468821383.1999998</v>
      </c>
      <c r="M123" s="100">
        <f t="shared" si="38"/>
        <v>0.97384915256927429</v>
      </c>
      <c r="N123" s="5">
        <f>+K123-[1]Julio!D150</f>
        <v>-4520846575</v>
      </c>
    </row>
    <row r="124" spans="1:14" ht="31.5" x14ac:dyDescent="0.25">
      <c r="A124" s="99">
        <v>363</v>
      </c>
      <c r="B124" s="57"/>
      <c r="C124" s="6" t="s">
        <v>94</v>
      </c>
      <c r="D124" s="58">
        <f>+D125</f>
        <v>3424000000</v>
      </c>
      <c r="E124" s="58">
        <f t="shared" ref="E124:I124" si="68">+E125</f>
        <v>0</v>
      </c>
      <c r="F124" s="58">
        <f t="shared" si="68"/>
        <v>0</v>
      </c>
      <c r="G124" s="58">
        <f t="shared" si="68"/>
        <v>0</v>
      </c>
      <c r="H124" s="58">
        <f t="shared" si="68"/>
        <v>0</v>
      </c>
      <c r="I124" s="58">
        <f t="shared" si="68"/>
        <v>3424000000</v>
      </c>
      <c r="J124" s="82">
        <f t="shared" si="40"/>
        <v>-3424000000</v>
      </c>
      <c r="K124" s="82">
        <f t="shared" si="41"/>
        <v>0</v>
      </c>
      <c r="L124" s="82">
        <f t="shared" ref="L124" si="69">+L125</f>
        <v>0</v>
      </c>
      <c r="M124" s="100" t="s">
        <v>155</v>
      </c>
      <c r="N124" s="5"/>
    </row>
    <row r="125" spans="1:14" ht="69.75" customHeight="1" thickBot="1" x14ac:dyDescent="0.3">
      <c r="A125" s="101">
        <v>36326</v>
      </c>
      <c r="B125" s="62">
        <v>20</v>
      </c>
      <c r="C125" s="79" t="s">
        <v>95</v>
      </c>
      <c r="D125" s="64">
        <v>3424000000</v>
      </c>
      <c r="E125" s="64">
        <v>0</v>
      </c>
      <c r="F125" s="64">
        <v>0</v>
      </c>
      <c r="G125" s="64">
        <v>0</v>
      </c>
      <c r="H125" s="64">
        <v>0</v>
      </c>
      <c r="I125" s="64">
        <f>497000000+2927000000</f>
        <v>3424000000</v>
      </c>
      <c r="J125" s="83">
        <f t="shared" si="40"/>
        <v>-3424000000</v>
      </c>
      <c r="K125" s="83">
        <f t="shared" si="41"/>
        <v>0</v>
      </c>
      <c r="L125" s="83">
        <v>0</v>
      </c>
      <c r="M125" s="102" t="s">
        <v>155</v>
      </c>
      <c r="N125" s="5"/>
    </row>
    <row r="126" spans="1:14" ht="24.95" customHeight="1" thickBot="1" x14ac:dyDescent="0.3">
      <c r="A126" s="86" t="s">
        <v>96</v>
      </c>
      <c r="B126" s="48"/>
      <c r="C126" s="65" t="s">
        <v>97</v>
      </c>
      <c r="D126" s="66">
        <f>+D127</f>
        <v>293266000000</v>
      </c>
      <c r="E126" s="66">
        <f t="shared" ref="E126:I128" si="70">+E127</f>
        <v>0</v>
      </c>
      <c r="F126" s="66">
        <f t="shared" si="70"/>
        <v>0</v>
      </c>
      <c r="G126" s="66">
        <f t="shared" si="70"/>
        <v>0</v>
      </c>
      <c r="H126" s="66">
        <f t="shared" si="70"/>
        <v>0</v>
      </c>
      <c r="I126" s="66">
        <f t="shared" si="70"/>
        <v>0</v>
      </c>
      <c r="J126" s="84">
        <f t="shared" si="40"/>
        <v>0</v>
      </c>
      <c r="K126" s="84">
        <f t="shared" si="41"/>
        <v>293266000000</v>
      </c>
      <c r="L126" s="84">
        <f t="shared" ref="L126:L128" si="71">+L127</f>
        <v>293265999999.26001</v>
      </c>
      <c r="M126" s="103">
        <f t="shared" si="38"/>
        <v>0.99999999999747669</v>
      </c>
      <c r="N126" s="5">
        <f>+K126-[1]Julio!D154</f>
        <v>119358000000</v>
      </c>
    </row>
    <row r="127" spans="1:14" ht="15.75" x14ac:dyDescent="0.25">
      <c r="A127" s="97">
        <v>7</v>
      </c>
      <c r="B127" s="54"/>
      <c r="C127" s="55" t="s">
        <v>97</v>
      </c>
      <c r="D127" s="56">
        <f>+D128</f>
        <v>293266000000</v>
      </c>
      <c r="E127" s="56">
        <f t="shared" si="70"/>
        <v>0</v>
      </c>
      <c r="F127" s="56">
        <f t="shared" si="70"/>
        <v>0</v>
      </c>
      <c r="G127" s="56">
        <f t="shared" si="70"/>
        <v>0</v>
      </c>
      <c r="H127" s="56">
        <f t="shared" si="70"/>
        <v>0</v>
      </c>
      <c r="I127" s="56">
        <f t="shared" si="70"/>
        <v>0</v>
      </c>
      <c r="J127" s="81">
        <f t="shared" si="40"/>
        <v>0</v>
      </c>
      <c r="K127" s="81">
        <f t="shared" si="41"/>
        <v>293266000000</v>
      </c>
      <c r="L127" s="81">
        <f t="shared" si="71"/>
        <v>293265999999.26001</v>
      </c>
      <c r="M127" s="98">
        <f t="shared" si="38"/>
        <v>0.99999999999747669</v>
      </c>
      <c r="N127" s="5">
        <f>+K127-[1]Julio!D155</f>
        <v>119358000000</v>
      </c>
    </row>
    <row r="128" spans="1:14" ht="31.5" x14ac:dyDescent="0.25">
      <c r="A128" s="99">
        <v>71</v>
      </c>
      <c r="B128" s="57"/>
      <c r="C128" s="6" t="s">
        <v>98</v>
      </c>
      <c r="D128" s="58">
        <f>+D129</f>
        <v>293266000000</v>
      </c>
      <c r="E128" s="58">
        <f t="shared" si="70"/>
        <v>0</v>
      </c>
      <c r="F128" s="58">
        <f t="shared" si="70"/>
        <v>0</v>
      </c>
      <c r="G128" s="58">
        <f t="shared" si="70"/>
        <v>0</v>
      </c>
      <c r="H128" s="58">
        <f t="shared" si="70"/>
        <v>0</v>
      </c>
      <c r="I128" s="58">
        <f t="shared" si="70"/>
        <v>0</v>
      </c>
      <c r="J128" s="82">
        <f t="shared" si="40"/>
        <v>0</v>
      </c>
      <c r="K128" s="82">
        <f t="shared" si="41"/>
        <v>293266000000</v>
      </c>
      <c r="L128" s="82">
        <f t="shared" si="71"/>
        <v>293265999999.26001</v>
      </c>
      <c r="M128" s="100">
        <f t="shared" si="38"/>
        <v>0.99999999999747669</v>
      </c>
      <c r="N128" s="5">
        <f>+K128-[1]Julio!D156</f>
        <v>119358000000</v>
      </c>
    </row>
    <row r="129" spans="1:16" ht="16.5" thickBot="1" x14ac:dyDescent="0.3">
      <c r="A129" s="101">
        <v>711</v>
      </c>
      <c r="B129" s="62">
        <v>11</v>
      </c>
      <c r="C129" s="63" t="s">
        <v>99</v>
      </c>
      <c r="D129" s="64">
        <v>293266000000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83">
        <f t="shared" si="40"/>
        <v>0</v>
      </c>
      <c r="K129" s="83">
        <f t="shared" si="41"/>
        <v>293266000000</v>
      </c>
      <c r="L129" s="83">
        <v>293265999999.26001</v>
      </c>
      <c r="M129" s="102">
        <f t="shared" si="38"/>
        <v>0.99999999999747669</v>
      </c>
      <c r="N129" s="5">
        <f>+K129-[1]Julio!D158</f>
        <v>191469000000</v>
      </c>
    </row>
    <row r="130" spans="1:16" ht="24.95" customHeight="1" thickBot="1" x14ac:dyDescent="0.3">
      <c r="A130" s="86" t="s">
        <v>100</v>
      </c>
      <c r="B130" s="48"/>
      <c r="C130" s="65" t="s">
        <v>201</v>
      </c>
      <c r="D130" s="66">
        <f t="shared" ref="D130:I130" si="72">+D131+D144</f>
        <v>2443549601008</v>
      </c>
      <c r="E130" s="66">
        <f t="shared" si="72"/>
        <v>367003015</v>
      </c>
      <c r="F130" s="66">
        <f t="shared" si="72"/>
        <v>50000000000</v>
      </c>
      <c r="G130" s="66">
        <f t="shared" si="72"/>
        <v>0</v>
      </c>
      <c r="H130" s="66">
        <f t="shared" si="72"/>
        <v>40365093752</v>
      </c>
      <c r="I130" s="66">
        <f t="shared" si="72"/>
        <v>40365093752</v>
      </c>
      <c r="J130" s="84">
        <f t="shared" si="40"/>
        <v>-49632996985</v>
      </c>
      <c r="K130" s="84">
        <f t="shared" si="41"/>
        <v>2393916604023</v>
      </c>
      <c r="L130" s="84">
        <f>+L131+L144</f>
        <v>2370721586297.23</v>
      </c>
      <c r="M130" s="103">
        <f t="shared" si="38"/>
        <v>0.99031084972350725</v>
      </c>
      <c r="N130" s="5">
        <f>+K130-[1]Julio!D159</f>
        <v>157495440962</v>
      </c>
      <c r="O130" s="5"/>
      <c r="P130" s="5"/>
    </row>
    <row r="131" spans="1:16" ht="30.75" customHeight="1" x14ac:dyDescent="0.25">
      <c r="A131" s="97">
        <v>113</v>
      </c>
      <c r="B131" s="54"/>
      <c r="C131" s="55" t="s">
        <v>102</v>
      </c>
      <c r="D131" s="56">
        <f>+D132+D135+D139</f>
        <v>1763418428806</v>
      </c>
      <c r="E131" s="56">
        <f t="shared" ref="E131:I131" si="73">+E132+E135+E139</f>
        <v>0</v>
      </c>
      <c r="F131" s="56">
        <f t="shared" si="73"/>
        <v>50000000000</v>
      </c>
      <c r="G131" s="56">
        <f t="shared" si="73"/>
        <v>0</v>
      </c>
      <c r="H131" s="56">
        <f t="shared" si="73"/>
        <v>40365093752</v>
      </c>
      <c r="I131" s="56">
        <f t="shared" si="73"/>
        <v>40365093752</v>
      </c>
      <c r="J131" s="81">
        <f t="shared" si="40"/>
        <v>-50000000000</v>
      </c>
      <c r="K131" s="81">
        <f t="shared" si="41"/>
        <v>1713418428806</v>
      </c>
      <c r="L131" s="81">
        <f t="shared" ref="L131" si="74">+L132+L135+L139</f>
        <v>1690976761932.6399</v>
      </c>
      <c r="M131" s="98">
        <f t="shared" si="38"/>
        <v>0.98690240136555629</v>
      </c>
      <c r="N131" s="5">
        <f>+K131-[1]Julio!D160</f>
        <v>-334155901013</v>
      </c>
      <c r="O131" s="7"/>
      <c r="P131" s="7"/>
    </row>
    <row r="132" spans="1:16" ht="15.75" x14ac:dyDescent="0.25">
      <c r="A132" s="99">
        <v>113600</v>
      </c>
      <c r="B132" s="57"/>
      <c r="C132" s="6" t="s">
        <v>103</v>
      </c>
      <c r="D132" s="58">
        <f>SUM(D133:D134)</f>
        <v>1012136100000</v>
      </c>
      <c r="E132" s="58">
        <f t="shared" ref="E132:I132" si="75">SUM(E133:E134)</f>
        <v>0</v>
      </c>
      <c r="F132" s="58">
        <f t="shared" si="75"/>
        <v>0</v>
      </c>
      <c r="G132" s="58">
        <f t="shared" si="75"/>
        <v>0</v>
      </c>
      <c r="H132" s="58">
        <f t="shared" si="75"/>
        <v>0</v>
      </c>
      <c r="I132" s="58">
        <f t="shared" si="75"/>
        <v>0</v>
      </c>
      <c r="J132" s="82">
        <f t="shared" si="40"/>
        <v>0</v>
      </c>
      <c r="K132" s="82">
        <f t="shared" si="41"/>
        <v>1012136100000</v>
      </c>
      <c r="L132" s="82">
        <f t="shared" ref="L132" si="76">SUM(L133:L134)</f>
        <v>1012136100000</v>
      </c>
      <c r="M132" s="100">
        <f t="shared" si="38"/>
        <v>1</v>
      </c>
      <c r="N132" s="5">
        <f>+K132-[1]Julio!D161</f>
        <v>-502642100000</v>
      </c>
      <c r="O132" s="7"/>
    </row>
    <row r="133" spans="1:16" s="71" customFormat="1" ht="31.5" x14ac:dyDescent="0.25">
      <c r="A133" s="104">
        <v>113600125</v>
      </c>
      <c r="B133" s="68">
        <v>11</v>
      </c>
      <c r="C133" s="60" t="s">
        <v>143</v>
      </c>
      <c r="D133" s="58">
        <v>166700000000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82">
        <f t="shared" si="40"/>
        <v>0</v>
      </c>
      <c r="K133" s="82">
        <f t="shared" si="41"/>
        <v>166700000000</v>
      </c>
      <c r="L133" s="82">
        <v>166700000000</v>
      </c>
      <c r="M133" s="100">
        <f t="shared" si="38"/>
        <v>1</v>
      </c>
      <c r="N133" s="69"/>
      <c r="O133" s="70"/>
    </row>
    <row r="134" spans="1:16" ht="31.5" x14ac:dyDescent="0.25">
      <c r="A134" s="99">
        <v>113600128</v>
      </c>
      <c r="B134" s="57">
        <v>11</v>
      </c>
      <c r="C134" s="60" t="s">
        <v>144</v>
      </c>
      <c r="D134" s="58">
        <v>845436100000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82">
        <f t="shared" si="40"/>
        <v>0</v>
      </c>
      <c r="K134" s="82">
        <f t="shared" si="41"/>
        <v>845436100000</v>
      </c>
      <c r="L134" s="82">
        <v>845436100000</v>
      </c>
      <c r="M134" s="100">
        <f t="shared" si="38"/>
        <v>1</v>
      </c>
      <c r="N134" s="5"/>
      <c r="O134" s="7"/>
    </row>
    <row r="135" spans="1:16" ht="15.75" x14ac:dyDescent="0.25">
      <c r="A135" s="99">
        <v>113601</v>
      </c>
      <c r="B135" s="57"/>
      <c r="C135" s="60" t="s">
        <v>145</v>
      </c>
      <c r="D135" s="58">
        <f>SUM(D136:D138)</f>
        <v>644150000000</v>
      </c>
      <c r="E135" s="58">
        <f t="shared" ref="E135:I135" si="77">SUM(E136:E138)</f>
        <v>0</v>
      </c>
      <c r="F135" s="58">
        <f t="shared" si="77"/>
        <v>0</v>
      </c>
      <c r="G135" s="58">
        <f t="shared" si="77"/>
        <v>0</v>
      </c>
      <c r="H135" s="58">
        <f t="shared" si="77"/>
        <v>0</v>
      </c>
      <c r="I135" s="58">
        <f t="shared" si="77"/>
        <v>0</v>
      </c>
      <c r="J135" s="82">
        <f t="shared" si="40"/>
        <v>0</v>
      </c>
      <c r="K135" s="82">
        <f t="shared" si="41"/>
        <v>644150000000</v>
      </c>
      <c r="L135" s="82">
        <f t="shared" ref="L135" si="78">SUM(L136:L138)</f>
        <v>644150000000</v>
      </c>
      <c r="M135" s="100">
        <f t="shared" si="38"/>
        <v>1</v>
      </c>
      <c r="N135" s="5"/>
      <c r="O135" s="7"/>
    </row>
    <row r="136" spans="1:16" ht="31.5" x14ac:dyDescent="0.25">
      <c r="A136" s="99">
        <v>1136013</v>
      </c>
      <c r="B136" s="57">
        <v>11</v>
      </c>
      <c r="C136" s="6" t="s">
        <v>104</v>
      </c>
      <c r="D136" s="58">
        <v>130063000000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82">
        <f t="shared" si="40"/>
        <v>0</v>
      </c>
      <c r="K136" s="82">
        <f t="shared" si="41"/>
        <v>130063000000</v>
      </c>
      <c r="L136" s="82">
        <v>130063000000</v>
      </c>
      <c r="M136" s="100">
        <f t="shared" si="38"/>
        <v>1</v>
      </c>
      <c r="N136" s="5"/>
      <c r="O136" s="7"/>
    </row>
    <row r="137" spans="1:16" ht="44.25" customHeight="1" x14ac:dyDescent="0.25">
      <c r="A137" s="99">
        <v>1136013</v>
      </c>
      <c r="B137" s="57">
        <v>20</v>
      </c>
      <c r="C137" s="6" t="s">
        <v>104</v>
      </c>
      <c r="D137" s="58">
        <v>30120000000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82">
        <f t="shared" si="40"/>
        <v>0</v>
      </c>
      <c r="K137" s="82">
        <f t="shared" si="41"/>
        <v>30120000000</v>
      </c>
      <c r="L137" s="82">
        <v>30120000000</v>
      </c>
      <c r="M137" s="100">
        <f t="shared" si="38"/>
        <v>1</v>
      </c>
      <c r="N137" s="5">
        <f>+K137-[1]Julio!D162</f>
        <v>-102297500000</v>
      </c>
      <c r="P137" s="7"/>
    </row>
    <row r="138" spans="1:16" ht="44.25" customHeight="1" x14ac:dyDescent="0.25">
      <c r="A138" s="99">
        <v>1136015</v>
      </c>
      <c r="B138" s="57">
        <v>11</v>
      </c>
      <c r="C138" s="6" t="s">
        <v>146</v>
      </c>
      <c r="D138" s="58">
        <v>483967000000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82">
        <f t="shared" si="40"/>
        <v>0</v>
      </c>
      <c r="K138" s="82">
        <f t="shared" si="41"/>
        <v>483967000000</v>
      </c>
      <c r="L138" s="82">
        <v>483967000000</v>
      </c>
      <c r="M138" s="100">
        <f t="shared" ref="M138:M152" si="79">+L138/K138</f>
        <v>1</v>
      </c>
      <c r="N138" s="5"/>
      <c r="P138" s="7"/>
    </row>
    <row r="139" spans="1:16" ht="44.25" customHeight="1" x14ac:dyDescent="0.25">
      <c r="A139" s="99">
        <v>113605</v>
      </c>
      <c r="B139" s="57"/>
      <c r="C139" s="6" t="s">
        <v>105</v>
      </c>
      <c r="D139" s="58">
        <f>SUM(D140:D143)</f>
        <v>107132328806</v>
      </c>
      <c r="E139" s="58">
        <f t="shared" ref="E139:I139" si="80">SUM(E140:E143)</f>
        <v>0</v>
      </c>
      <c r="F139" s="58">
        <f t="shared" si="80"/>
        <v>50000000000</v>
      </c>
      <c r="G139" s="58">
        <f t="shared" si="80"/>
        <v>0</v>
      </c>
      <c r="H139" s="58">
        <f t="shared" si="80"/>
        <v>40365093752</v>
      </c>
      <c r="I139" s="58">
        <f t="shared" si="80"/>
        <v>40365093752</v>
      </c>
      <c r="J139" s="82">
        <f t="shared" si="40"/>
        <v>-50000000000</v>
      </c>
      <c r="K139" s="82">
        <f t="shared" si="41"/>
        <v>57132328806</v>
      </c>
      <c r="L139" s="82">
        <f t="shared" ref="L139" si="81">SUM(L140:L143)</f>
        <v>34690661932.639999</v>
      </c>
      <c r="M139" s="100">
        <f t="shared" si="79"/>
        <v>0.60719845764447133</v>
      </c>
      <c r="N139" s="5"/>
      <c r="P139" s="7"/>
    </row>
    <row r="140" spans="1:16" ht="65.25" customHeight="1" x14ac:dyDescent="0.25">
      <c r="A140" s="99">
        <v>11360507</v>
      </c>
      <c r="B140" s="57">
        <v>20</v>
      </c>
      <c r="C140" s="6" t="s">
        <v>106</v>
      </c>
      <c r="D140" s="58">
        <v>16767235054</v>
      </c>
      <c r="E140" s="58">
        <v>0</v>
      </c>
      <c r="F140" s="58">
        <v>0</v>
      </c>
      <c r="G140" s="58">
        <v>0</v>
      </c>
      <c r="H140" s="58">
        <v>773393752</v>
      </c>
      <c r="I140" s="58">
        <v>0</v>
      </c>
      <c r="J140" s="82">
        <f t="shared" ref="J140:J151" si="82">E140-F140-G140+H140-I140</f>
        <v>773393752</v>
      </c>
      <c r="K140" s="82">
        <f t="shared" ref="K140:K151" si="83">D140+J140</f>
        <v>17540628806</v>
      </c>
      <c r="L140" s="82">
        <v>10285592988</v>
      </c>
      <c r="M140" s="100">
        <f t="shared" si="79"/>
        <v>0.58638678816814593</v>
      </c>
      <c r="N140" s="5"/>
      <c r="P140" s="7"/>
    </row>
    <row r="141" spans="1:16" ht="57.75" customHeight="1" x14ac:dyDescent="0.25">
      <c r="A141" s="99">
        <v>11360507</v>
      </c>
      <c r="B141" s="57">
        <v>21</v>
      </c>
      <c r="C141" s="6" t="s">
        <v>106</v>
      </c>
      <c r="D141" s="58">
        <v>0</v>
      </c>
      <c r="E141" s="58">
        <v>0</v>
      </c>
      <c r="F141" s="58">
        <v>0</v>
      </c>
      <c r="G141" s="58">
        <v>0</v>
      </c>
      <c r="H141" s="58">
        <f>25100000000+14491700000</f>
        <v>39591700000</v>
      </c>
      <c r="I141" s="58">
        <v>0</v>
      </c>
      <c r="J141" s="82">
        <f t="shared" si="82"/>
        <v>39591700000</v>
      </c>
      <c r="K141" s="82">
        <f t="shared" si="83"/>
        <v>39591700000</v>
      </c>
      <c r="L141" s="82">
        <v>24405068944.639999</v>
      </c>
      <c r="M141" s="100">
        <f t="shared" si="79"/>
        <v>0.61641881870796145</v>
      </c>
      <c r="N141" s="5"/>
      <c r="P141" s="7"/>
    </row>
    <row r="142" spans="1:16" ht="44.25" customHeight="1" x14ac:dyDescent="0.25">
      <c r="A142" s="99">
        <v>11360510</v>
      </c>
      <c r="B142" s="57">
        <v>20</v>
      </c>
      <c r="C142" s="6" t="s">
        <v>148</v>
      </c>
      <c r="D142" s="58">
        <v>773393752</v>
      </c>
      <c r="E142" s="58">
        <v>0</v>
      </c>
      <c r="F142" s="58">
        <v>0</v>
      </c>
      <c r="G142" s="58">
        <v>0</v>
      </c>
      <c r="H142" s="58">
        <v>0</v>
      </c>
      <c r="I142" s="58">
        <v>773393752</v>
      </c>
      <c r="J142" s="82">
        <f t="shared" si="82"/>
        <v>-773393752</v>
      </c>
      <c r="K142" s="82">
        <f t="shared" si="83"/>
        <v>0</v>
      </c>
      <c r="L142" s="82">
        <v>0</v>
      </c>
      <c r="M142" s="100" t="s">
        <v>155</v>
      </c>
      <c r="N142" s="5"/>
      <c r="P142" s="7"/>
    </row>
    <row r="143" spans="1:16" ht="44.25" customHeight="1" x14ac:dyDescent="0.25">
      <c r="A143" s="99">
        <v>11360510</v>
      </c>
      <c r="B143" s="57">
        <v>21</v>
      </c>
      <c r="C143" s="6" t="s">
        <v>148</v>
      </c>
      <c r="D143" s="58">
        <v>89591700000</v>
      </c>
      <c r="E143" s="58">
        <v>0</v>
      </c>
      <c r="F143" s="58">
        <v>50000000000</v>
      </c>
      <c r="G143" s="58">
        <v>0</v>
      </c>
      <c r="H143" s="58">
        <v>0</v>
      </c>
      <c r="I143" s="58">
        <f>25100000000+14491700000</f>
        <v>39591700000</v>
      </c>
      <c r="J143" s="82">
        <f t="shared" si="82"/>
        <v>-89591700000</v>
      </c>
      <c r="K143" s="82">
        <f t="shared" si="83"/>
        <v>0</v>
      </c>
      <c r="L143" s="82">
        <v>0</v>
      </c>
      <c r="M143" s="100" t="s">
        <v>155</v>
      </c>
      <c r="N143" s="5"/>
      <c r="P143" s="7"/>
    </row>
    <row r="144" spans="1:16" ht="51.75" customHeight="1" x14ac:dyDescent="0.25">
      <c r="A144" s="99">
        <v>530</v>
      </c>
      <c r="B144" s="57"/>
      <c r="C144" s="6" t="s">
        <v>107</v>
      </c>
      <c r="D144" s="58">
        <f>+D145</f>
        <v>680131172202</v>
      </c>
      <c r="E144" s="58">
        <f t="shared" ref="E144:I144" si="84">+E145</f>
        <v>367003015</v>
      </c>
      <c r="F144" s="58">
        <f t="shared" si="84"/>
        <v>0</v>
      </c>
      <c r="G144" s="58">
        <f t="shared" si="84"/>
        <v>0</v>
      </c>
      <c r="H144" s="58">
        <f t="shared" si="84"/>
        <v>0</v>
      </c>
      <c r="I144" s="58">
        <f t="shared" si="84"/>
        <v>0</v>
      </c>
      <c r="J144" s="82">
        <f t="shared" si="82"/>
        <v>367003015</v>
      </c>
      <c r="K144" s="82">
        <f t="shared" si="83"/>
        <v>680498175217</v>
      </c>
      <c r="L144" s="82">
        <f>+L145</f>
        <v>679744824364.58997</v>
      </c>
      <c r="M144" s="100">
        <f t="shared" si="79"/>
        <v>0.99889294214173341</v>
      </c>
      <c r="N144" s="5"/>
    </row>
    <row r="145" spans="1:14" ht="21.75" customHeight="1" x14ac:dyDescent="0.25">
      <c r="A145" s="99">
        <v>530600</v>
      </c>
      <c r="B145" s="57"/>
      <c r="C145" s="6" t="s">
        <v>103</v>
      </c>
      <c r="D145" s="58">
        <f>+D146+D147+D148+D149+D150+D151</f>
        <v>680131172202</v>
      </c>
      <c r="E145" s="58">
        <f t="shared" ref="E145:I145" si="85">+E146+E147+E148+E149+E150+E151</f>
        <v>367003015</v>
      </c>
      <c r="F145" s="58">
        <f t="shared" si="85"/>
        <v>0</v>
      </c>
      <c r="G145" s="58">
        <f t="shared" si="85"/>
        <v>0</v>
      </c>
      <c r="H145" s="58">
        <f t="shared" si="85"/>
        <v>0</v>
      </c>
      <c r="I145" s="58">
        <f t="shared" si="85"/>
        <v>0</v>
      </c>
      <c r="J145" s="82">
        <f t="shared" si="82"/>
        <v>367003015</v>
      </c>
      <c r="K145" s="82">
        <f t="shared" si="83"/>
        <v>680498175217</v>
      </c>
      <c r="L145" s="82">
        <f>+L146+L147+L148+L149+L150+L151</f>
        <v>679744824364.58997</v>
      </c>
      <c r="M145" s="100">
        <f t="shared" si="79"/>
        <v>0.99889294214173341</v>
      </c>
      <c r="N145" s="5"/>
    </row>
    <row r="146" spans="1:14" ht="76.5" customHeight="1" x14ac:dyDescent="0.25">
      <c r="A146" s="99">
        <v>5306003</v>
      </c>
      <c r="B146" s="57">
        <v>11</v>
      </c>
      <c r="C146" s="6" t="s">
        <v>149</v>
      </c>
      <c r="D146" s="58">
        <v>590466000000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82">
        <f t="shared" si="82"/>
        <v>0</v>
      </c>
      <c r="K146" s="82">
        <f t="shared" si="83"/>
        <v>590466000000</v>
      </c>
      <c r="L146" s="82">
        <v>590465999999.18994</v>
      </c>
      <c r="M146" s="100">
        <f t="shared" si="79"/>
        <v>0.9999999999986281</v>
      </c>
      <c r="N146" s="5"/>
    </row>
    <row r="147" spans="1:14" ht="64.5" customHeight="1" x14ac:dyDescent="0.25">
      <c r="A147" s="99">
        <v>5306003</v>
      </c>
      <c r="B147" s="57">
        <v>20</v>
      </c>
      <c r="C147" s="6" t="s">
        <v>150</v>
      </c>
      <c r="D147" s="58">
        <v>22403298891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82">
        <f t="shared" si="82"/>
        <v>0</v>
      </c>
      <c r="K147" s="82">
        <f t="shared" si="83"/>
        <v>22403298891</v>
      </c>
      <c r="L147" s="82">
        <v>22403298891</v>
      </c>
      <c r="M147" s="100">
        <f t="shared" si="79"/>
        <v>1</v>
      </c>
      <c r="N147" s="5"/>
    </row>
    <row r="148" spans="1:14" ht="44.25" customHeight="1" x14ac:dyDescent="0.25">
      <c r="A148" s="99">
        <v>5306004</v>
      </c>
      <c r="B148" s="57">
        <v>11</v>
      </c>
      <c r="C148" s="60" t="s">
        <v>151</v>
      </c>
      <c r="D148" s="58">
        <v>55333900000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82">
        <f t="shared" si="82"/>
        <v>0</v>
      </c>
      <c r="K148" s="82">
        <f t="shared" si="83"/>
        <v>55333900000</v>
      </c>
      <c r="L148" s="82">
        <v>55232250332.760002</v>
      </c>
      <c r="M148" s="100">
        <f t="shared" si="79"/>
        <v>0.99816297663385378</v>
      </c>
      <c r="N148" s="5"/>
    </row>
    <row r="149" spans="1:14" ht="44.25" customHeight="1" x14ac:dyDescent="0.25">
      <c r="A149" s="99">
        <v>5306004</v>
      </c>
      <c r="B149" s="57">
        <v>25</v>
      </c>
      <c r="C149" s="60" t="s">
        <v>151</v>
      </c>
      <c r="D149" s="58">
        <v>132973311</v>
      </c>
      <c r="E149" s="58">
        <v>367003015</v>
      </c>
      <c r="F149" s="58">
        <v>0</v>
      </c>
      <c r="G149" s="58">
        <v>0</v>
      </c>
      <c r="H149" s="58">
        <v>0</v>
      </c>
      <c r="I149" s="58">
        <v>0</v>
      </c>
      <c r="J149" s="82">
        <f t="shared" si="82"/>
        <v>367003015</v>
      </c>
      <c r="K149" s="82">
        <f t="shared" si="83"/>
        <v>499976326</v>
      </c>
      <c r="L149" s="82">
        <v>480964150</v>
      </c>
      <c r="M149" s="100">
        <f t="shared" si="79"/>
        <v>0.96197384753773318</v>
      </c>
      <c r="N149" s="5"/>
    </row>
    <row r="150" spans="1:14" ht="67.5" customHeight="1" x14ac:dyDescent="0.25">
      <c r="A150" s="99">
        <v>530600101</v>
      </c>
      <c r="B150" s="57">
        <v>11</v>
      </c>
      <c r="C150" s="6" t="s">
        <v>152</v>
      </c>
      <c r="D150" s="58">
        <v>5855000000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82">
        <f t="shared" si="82"/>
        <v>0</v>
      </c>
      <c r="K150" s="82">
        <f t="shared" si="83"/>
        <v>5855000000</v>
      </c>
      <c r="L150" s="82">
        <v>5461106895</v>
      </c>
      <c r="M150" s="100">
        <f t="shared" si="79"/>
        <v>0.93272534500426985</v>
      </c>
      <c r="N150" s="5"/>
    </row>
    <row r="151" spans="1:14" ht="72" customHeight="1" thickBot="1" x14ac:dyDescent="0.3">
      <c r="A151" s="101">
        <v>530600101</v>
      </c>
      <c r="B151" s="62">
        <v>20</v>
      </c>
      <c r="C151" s="63" t="s">
        <v>152</v>
      </c>
      <c r="D151" s="64">
        <v>5940000000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  <c r="J151" s="83">
        <f t="shared" si="82"/>
        <v>0</v>
      </c>
      <c r="K151" s="83">
        <f t="shared" si="83"/>
        <v>5940000000</v>
      </c>
      <c r="L151" s="83">
        <v>5701204096.6400003</v>
      </c>
      <c r="M151" s="102">
        <f t="shared" si="79"/>
        <v>0.95979866946801351</v>
      </c>
      <c r="N151" s="5"/>
    </row>
    <row r="152" spans="1:14" s="21" customFormat="1" ht="23.25" customHeight="1" thickBot="1" x14ac:dyDescent="0.3">
      <c r="A152" s="258" t="s">
        <v>108</v>
      </c>
      <c r="B152" s="259"/>
      <c r="C152" s="260"/>
      <c r="D152" s="105">
        <f t="shared" ref="D152:J152" si="86">+D11+D126+D130</f>
        <v>2749962901008</v>
      </c>
      <c r="E152" s="105">
        <f t="shared" si="86"/>
        <v>367003015</v>
      </c>
      <c r="F152" s="105">
        <f t="shared" si="86"/>
        <v>50000000000</v>
      </c>
      <c r="G152" s="105">
        <f t="shared" si="86"/>
        <v>0</v>
      </c>
      <c r="H152" s="105">
        <f t="shared" si="86"/>
        <v>44939700126</v>
      </c>
      <c r="I152" s="105">
        <f t="shared" si="86"/>
        <v>44939700126</v>
      </c>
      <c r="J152" s="105">
        <f t="shared" si="86"/>
        <v>-49632996985</v>
      </c>
      <c r="K152" s="105">
        <f>+K11+K126+K130</f>
        <v>2700329904023</v>
      </c>
      <c r="L152" s="105">
        <f>+L130+L126+L11</f>
        <v>2675162446633.5303</v>
      </c>
      <c r="M152" s="106">
        <f t="shared" si="79"/>
        <v>0.99067985828251026</v>
      </c>
    </row>
    <row r="154" spans="1:14" x14ac:dyDescent="0.25">
      <c r="A154" s="80" t="s">
        <v>173</v>
      </c>
    </row>
  </sheetData>
  <mergeCells count="9">
    <mergeCell ref="L8:L9"/>
    <mergeCell ref="M8:M9"/>
    <mergeCell ref="A152:C152"/>
    <mergeCell ref="E8:J8"/>
    <mergeCell ref="D8:D9"/>
    <mergeCell ref="A8:A10"/>
    <mergeCell ref="C8:C10"/>
    <mergeCell ref="K8:K9"/>
    <mergeCell ref="B8:B10"/>
  </mergeCells>
  <printOptions horizontalCentered="1" verticalCentered="1"/>
  <pageMargins left="0.31496062992125984" right="0.31496062992125984" top="0.35433070866141736" bottom="0.55118110236220474" header="0.31496062992125984" footer="0.31496062992125984"/>
  <pageSetup paperSize="261" scale="65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B177"/>
  <sheetViews>
    <sheetView showGridLines="0" zoomScaleNormal="100" workbookViewId="0">
      <pane xSplit="3" ySplit="10" topLeftCell="D170" activePane="bottomRight" state="frozen"/>
      <selection activeCell="A154" sqref="A154"/>
      <selection pane="topRight" activeCell="A154" sqref="A154"/>
      <selection pane="bottomLeft" activeCell="A154" sqref="A154"/>
      <selection pane="bottomRight" activeCell="D8" sqref="D8:D9"/>
    </sheetView>
  </sheetViews>
  <sheetFormatPr baseColWidth="10" defaultRowHeight="15.75" x14ac:dyDescent="0.25"/>
  <cols>
    <col min="1" max="1" width="15.42578125" style="32" customWidth="1"/>
    <col min="2" max="2" width="9.42578125" style="72" customWidth="1"/>
    <col min="3" max="3" width="37.85546875" style="33" customWidth="1"/>
    <col min="4" max="4" width="19" style="34" customWidth="1"/>
    <col min="5" max="5" width="18.140625" style="34" hidden="1" customWidth="1"/>
    <col min="6" max="6" width="11.28515625" style="34" hidden="1" customWidth="1"/>
    <col min="7" max="7" width="16.85546875" style="34" hidden="1" customWidth="1"/>
    <col min="8" max="8" width="18.42578125" style="34" hidden="1" customWidth="1"/>
    <col min="9" max="9" width="18" style="34" hidden="1" customWidth="1"/>
    <col min="10" max="10" width="18.5703125" style="34" hidden="1" customWidth="1"/>
    <col min="11" max="11" width="19.7109375" style="34" customWidth="1"/>
    <col min="12" max="12" width="26.140625" style="34" customWidth="1"/>
    <col min="13" max="13" width="16.7109375" style="35" customWidth="1"/>
    <col min="14" max="14" width="29.140625" style="32" hidden="1" customWidth="1"/>
    <col min="15" max="16" width="19" style="32" hidden="1" customWidth="1"/>
    <col min="17" max="50" width="0" style="32" hidden="1" customWidth="1"/>
    <col min="51" max="51" width="14.42578125" style="32" bestFit="1" customWidth="1"/>
    <col min="52" max="52" width="13.42578125" style="32" bestFit="1" customWidth="1"/>
    <col min="53" max="53" width="11.42578125" style="32"/>
    <col min="54" max="54" width="14.42578125" style="32" bestFit="1" customWidth="1"/>
    <col min="55" max="16384" width="11.42578125" style="32"/>
  </cols>
  <sheetData>
    <row r="1" spans="1:16" s="1" customFormat="1" thickBot="1" x14ac:dyDescent="0.3">
      <c r="A1" s="4"/>
      <c r="B1" s="15"/>
      <c r="C1" s="11"/>
      <c r="D1" s="12"/>
      <c r="E1" s="12"/>
      <c r="F1" s="12"/>
      <c r="G1" s="12"/>
      <c r="H1" s="12"/>
      <c r="I1" s="12"/>
      <c r="J1" s="12"/>
      <c r="K1" s="12"/>
      <c r="L1" s="12"/>
      <c r="M1" s="19"/>
    </row>
    <row r="2" spans="1:16" s="1" customFormat="1" ht="20.100000000000001" customHeight="1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6" s="1" customFormat="1" ht="20.100000000000001" customHeight="1" x14ac:dyDescent="0.25">
      <c r="A3" s="10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6" s="1" customFormat="1" ht="20.100000000000001" customHeight="1" x14ac:dyDescent="0.25">
      <c r="A4" s="10"/>
      <c r="B4" s="15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6" s="1" customFormat="1" ht="20.100000000000001" customHeight="1" x14ac:dyDescent="0.25">
      <c r="A5" s="10"/>
      <c r="B5" s="15"/>
      <c r="C5" s="44" t="s">
        <v>205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6" s="1" customFormat="1" ht="20.100000000000001" customHeight="1" x14ac:dyDescent="0.25">
      <c r="A6" s="10"/>
      <c r="B6" s="15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6" s="1" customFormat="1" ht="20.100000000000001" customHeight="1" thickBot="1" x14ac:dyDescent="0.3">
      <c r="A7" s="10"/>
      <c r="B7" s="15"/>
      <c r="C7" s="11"/>
      <c r="D7" s="12"/>
      <c r="E7" s="12"/>
      <c r="F7" s="12"/>
      <c r="G7" s="12"/>
      <c r="H7" s="12"/>
      <c r="I7" s="12"/>
      <c r="J7" s="12"/>
      <c r="K7" s="12"/>
      <c r="L7" s="12"/>
      <c r="M7" s="43"/>
    </row>
    <row r="8" spans="1:16" s="1" customFormat="1" ht="36.75" customHeight="1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126</v>
      </c>
    </row>
    <row r="9" spans="1:16" s="1" customFormat="1" ht="48" customHeight="1" x14ac:dyDescent="0.25">
      <c r="A9" s="262"/>
      <c r="B9" s="262"/>
      <c r="C9" s="262"/>
      <c r="D9" s="257"/>
      <c r="E9" s="85" t="s">
        <v>110</v>
      </c>
      <c r="F9" s="85" t="s">
        <v>111</v>
      </c>
      <c r="G9" s="85" t="s">
        <v>112</v>
      </c>
      <c r="H9" s="85" t="s">
        <v>113</v>
      </c>
      <c r="I9" s="85" t="s">
        <v>114</v>
      </c>
      <c r="J9" s="85" t="s">
        <v>115</v>
      </c>
      <c r="K9" s="257"/>
      <c r="L9" s="257" t="s">
        <v>0</v>
      </c>
      <c r="M9" s="257" t="s">
        <v>1</v>
      </c>
    </row>
    <row r="10" spans="1:16" s="47" customFormat="1" ht="36.75" customHeight="1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6" s="38" customFormat="1" ht="25.5" customHeight="1" thickBot="1" x14ac:dyDescent="0.3">
      <c r="A11" s="89" t="s">
        <v>2</v>
      </c>
      <c r="B11" s="90"/>
      <c r="C11" s="91" t="s">
        <v>3</v>
      </c>
      <c r="D11" s="92">
        <f>+D12+D50+D120</f>
        <v>52103435142</v>
      </c>
      <c r="E11" s="92">
        <f>+E12+E50+E120</f>
        <v>56336772788</v>
      </c>
      <c r="F11" s="92">
        <f t="shared" ref="F11:G11" si="0">+F12+F50+F120</f>
        <v>0</v>
      </c>
      <c r="G11" s="92">
        <f t="shared" si="0"/>
        <v>0</v>
      </c>
      <c r="H11" s="92">
        <f>+H12+H50+H120</f>
        <v>35495299327</v>
      </c>
      <c r="I11" s="92">
        <f>+I12+I50+I120</f>
        <v>15432072659</v>
      </c>
      <c r="J11" s="93">
        <f t="shared" ref="J11:J15" si="1">E11-F11-G11+H11-I11</f>
        <v>76399999456</v>
      </c>
      <c r="K11" s="92">
        <f>+K12+K50+K120</f>
        <v>128503434598</v>
      </c>
      <c r="L11" s="92">
        <f>+L12+L50+L120</f>
        <v>122877373243.56</v>
      </c>
      <c r="M11" s="94">
        <f>+L11/K11</f>
        <v>0.95621859157274569</v>
      </c>
      <c r="N11" s="73">
        <f>+K11-[1]Abril!D10</f>
        <v>58036663659</v>
      </c>
    </row>
    <row r="12" spans="1:16" ht="36.75" customHeight="1" x14ac:dyDescent="0.25">
      <c r="A12" s="53">
        <v>1</v>
      </c>
      <c r="B12" s="54"/>
      <c r="C12" s="55" t="s">
        <v>4</v>
      </c>
      <c r="D12" s="56">
        <f t="shared" ref="D12:L12" si="2">+D13</f>
        <v>22532669825</v>
      </c>
      <c r="E12" s="56">
        <f t="shared" si="2"/>
        <v>0</v>
      </c>
      <c r="F12" s="56">
        <f t="shared" si="2"/>
        <v>0</v>
      </c>
      <c r="G12" s="56">
        <f t="shared" si="2"/>
        <v>0</v>
      </c>
      <c r="H12" s="56">
        <f>+H13</f>
        <v>2523597982</v>
      </c>
      <c r="I12" s="56">
        <f t="shared" si="2"/>
        <v>11028142587</v>
      </c>
      <c r="J12" s="56">
        <f t="shared" si="1"/>
        <v>-8504544605</v>
      </c>
      <c r="K12" s="56">
        <f>+K13</f>
        <v>14028125220</v>
      </c>
      <c r="L12" s="56">
        <f t="shared" si="2"/>
        <v>12024782594</v>
      </c>
      <c r="M12" s="88">
        <f t="shared" ref="M12:M77" si="3">+L12/K12</f>
        <v>0.85719099348045313</v>
      </c>
      <c r="N12" s="36">
        <f>+K12-[1]Julio!D11</f>
        <v>-31018845719</v>
      </c>
    </row>
    <row r="13" spans="1:16" x14ac:dyDescent="0.25">
      <c r="A13" s="17">
        <v>10</v>
      </c>
      <c r="B13" s="57"/>
      <c r="C13" s="6" t="s">
        <v>4</v>
      </c>
      <c r="D13" s="58">
        <f t="shared" ref="D13:L13" si="4">+D14+D35+D39</f>
        <v>22532669825</v>
      </c>
      <c r="E13" s="58">
        <f t="shared" si="4"/>
        <v>0</v>
      </c>
      <c r="F13" s="58">
        <f t="shared" si="4"/>
        <v>0</v>
      </c>
      <c r="G13" s="58">
        <f t="shared" si="4"/>
        <v>0</v>
      </c>
      <c r="H13" s="58">
        <f>+H14+H35+H39</f>
        <v>2523597982</v>
      </c>
      <c r="I13" s="58">
        <f t="shared" si="4"/>
        <v>11028142587</v>
      </c>
      <c r="J13" s="58">
        <f t="shared" si="1"/>
        <v>-8504544605</v>
      </c>
      <c r="K13" s="58">
        <f t="shared" si="4"/>
        <v>14028125220</v>
      </c>
      <c r="L13" s="58">
        <f t="shared" si="4"/>
        <v>12024782594</v>
      </c>
      <c r="M13" s="59">
        <f t="shared" si="3"/>
        <v>0.85719099348045313</v>
      </c>
      <c r="N13" s="36">
        <f>+K13-[1]Julio!D12</f>
        <v>-31018845719</v>
      </c>
    </row>
    <row r="14" spans="1:16" ht="44.25" customHeight="1" x14ac:dyDescent="0.25">
      <c r="A14" s="17">
        <v>101</v>
      </c>
      <c r="B14" s="57"/>
      <c r="C14" s="6" t="s">
        <v>5</v>
      </c>
      <c r="D14" s="58">
        <f t="shared" ref="D14:L14" si="5">+D15+D19+D22+D31+D32</f>
        <v>16323943367</v>
      </c>
      <c r="E14" s="58">
        <f t="shared" si="5"/>
        <v>0</v>
      </c>
      <c r="F14" s="58">
        <f t="shared" si="5"/>
        <v>0</v>
      </c>
      <c r="G14" s="58">
        <f t="shared" si="5"/>
        <v>0</v>
      </c>
      <c r="H14" s="58">
        <f>+H15+H19+H22+H31+H32</f>
        <v>675853007</v>
      </c>
      <c r="I14" s="58">
        <f t="shared" si="5"/>
        <v>8979477307</v>
      </c>
      <c r="J14" s="58">
        <f t="shared" si="1"/>
        <v>-8303624300</v>
      </c>
      <c r="K14" s="58">
        <f t="shared" si="5"/>
        <v>8020319067</v>
      </c>
      <c r="L14" s="58">
        <f t="shared" si="5"/>
        <v>7754098676</v>
      </c>
      <c r="M14" s="59">
        <f t="shared" si="3"/>
        <v>0.96680675808829386</v>
      </c>
      <c r="N14" s="36">
        <f>+K14-[1]Julio!D13</f>
        <v>-19859033933</v>
      </c>
      <c r="O14" s="34">
        <v>45647668331</v>
      </c>
      <c r="P14" s="37">
        <f>+O14-K13</f>
        <v>31619543111</v>
      </c>
    </row>
    <row r="15" spans="1:16" ht="38.25" customHeight="1" x14ac:dyDescent="0.25">
      <c r="A15" s="17">
        <v>1011</v>
      </c>
      <c r="B15" s="57"/>
      <c r="C15" s="6" t="s">
        <v>6</v>
      </c>
      <c r="D15" s="58">
        <f t="shared" ref="D15:G15" si="6">+D16+D17+D18</f>
        <v>11570326595</v>
      </c>
      <c r="E15" s="58">
        <f t="shared" si="6"/>
        <v>0</v>
      </c>
      <c r="F15" s="58">
        <f t="shared" si="6"/>
        <v>0</v>
      </c>
      <c r="G15" s="58">
        <f t="shared" si="6"/>
        <v>0</v>
      </c>
      <c r="H15" s="58">
        <f>+H16+H17+H18</f>
        <v>21000000</v>
      </c>
      <c r="I15" s="58">
        <f>+I16+I17+I18</f>
        <v>5880203600</v>
      </c>
      <c r="J15" s="58">
        <f t="shared" si="1"/>
        <v>-5859203600</v>
      </c>
      <c r="K15" s="58">
        <f>+K16+K17+K18</f>
        <v>5711122995</v>
      </c>
      <c r="L15" s="58">
        <f>+L16+L17+L18</f>
        <v>5654950107</v>
      </c>
      <c r="M15" s="59">
        <f t="shared" si="3"/>
        <v>0.99016430077776674</v>
      </c>
      <c r="N15" s="36">
        <f>+K15-[1]Julio!D14</f>
        <v>-13671851005</v>
      </c>
    </row>
    <row r="16" spans="1:16" x14ac:dyDescent="0.25">
      <c r="A16" s="17">
        <v>10111</v>
      </c>
      <c r="B16" s="57">
        <v>20</v>
      </c>
      <c r="C16" s="6" t="s">
        <v>7</v>
      </c>
      <c r="D16" s="58">
        <v>10822252949</v>
      </c>
      <c r="E16" s="58">
        <v>0</v>
      </c>
      <c r="F16" s="58">
        <v>0</v>
      </c>
      <c r="G16" s="58">
        <v>0</v>
      </c>
      <c r="H16" s="58">
        <v>0</v>
      </c>
      <c r="I16" s="58">
        <f>963939000+2691383600+1600000000</f>
        <v>5255322600</v>
      </c>
      <c r="J16" s="58">
        <f t="shared" ref="J16:J81" si="7">E16-F16-G16+H16-I16</f>
        <v>-5255322600</v>
      </c>
      <c r="K16" s="58">
        <f t="shared" ref="K16:K81" si="8">D16+J16</f>
        <v>5566930349</v>
      </c>
      <c r="L16" s="58">
        <v>5552211977</v>
      </c>
      <c r="M16" s="59">
        <f t="shared" si="3"/>
        <v>0.99735610631402205</v>
      </c>
      <c r="N16" s="36">
        <f>+K16-[1]Julio!D15</f>
        <v>-11839791838</v>
      </c>
    </row>
    <row r="17" spans="1:14" x14ac:dyDescent="0.25">
      <c r="A17" s="17">
        <v>10112</v>
      </c>
      <c r="B17" s="57">
        <v>20</v>
      </c>
      <c r="C17" s="6" t="s">
        <v>8</v>
      </c>
      <c r="D17" s="58">
        <v>738676206</v>
      </c>
      <c r="E17" s="58">
        <v>0</v>
      </c>
      <c r="F17" s="58">
        <v>0</v>
      </c>
      <c r="G17" s="58">
        <v>0</v>
      </c>
      <c r="H17" s="58">
        <v>0</v>
      </c>
      <c r="I17" s="58">
        <f>304447000+166434000+21000000+133000000</f>
        <v>624881000</v>
      </c>
      <c r="J17" s="58">
        <f t="shared" si="7"/>
        <v>-624881000</v>
      </c>
      <c r="K17" s="58">
        <f t="shared" si="8"/>
        <v>113795206</v>
      </c>
      <c r="L17" s="58">
        <v>88994022</v>
      </c>
      <c r="M17" s="59">
        <f t="shared" si="3"/>
        <v>0.78205422818954251</v>
      </c>
      <c r="N17" s="36">
        <f>+K17-[1]Julio!D16</f>
        <v>-1126235035</v>
      </c>
    </row>
    <row r="18" spans="1:14" ht="33.75" customHeight="1" x14ac:dyDescent="0.25">
      <c r="A18" s="17">
        <v>10114</v>
      </c>
      <c r="B18" s="57">
        <v>20</v>
      </c>
      <c r="C18" s="6" t="s">
        <v>9</v>
      </c>
      <c r="D18" s="58">
        <v>9397440</v>
      </c>
      <c r="E18" s="58">
        <v>0</v>
      </c>
      <c r="F18" s="58">
        <v>0</v>
      </c>
      <c r="G18" s="58">
        <v>0</v>
      </c>
      <c r="H18" s="58">
        <v>21000000</v>
      </c>
      <c r="I18" s="58">
        <v>0</v>
      </c>
      <c r="J18" s="58">
        <f t="shared" si="7"/>
        <v>21000000</v>
      </c>
      <c r="K18" s="58">
        <f>D18+J18</f>
        <v>30397440</v>
      </c>
      <c r="L18" s="58">
        <v>13744108</v>
      </c>
      <c r="M18" s="59">
        <f t="shared" si="3"/>
        <v>0.45214689131716357</v>
      </c>
      <c r="N18" s="36">
        <f>+K18-[1]Julio!D17</f>
        <v>-705824132</v>
      </c>
    </row>
    <row r="19" spans="1:14" x14ac:dyDescent="0.25">
      <c r="A19" s="17">
        <v>1014</v>
      </c>
      <c r="B19" s="57"/>
      <c r="C19" s="6" t="s">
        <v>10</v>
      </c>
      <c r="D19" s="58">
        <f>+D21+D20</f>
        <v>1489502020</v>
      </c>
      <c r="E19" s="58">
        <f t="shared" ref="E19:I19" si="9">+E21+E20</f>
        <v>0</v>
      </c>
      <c r="F19" s="58">
        <f t="shared" si="9"/>
        <v>0</v>
      </c>
      <c r="G19" s="58">
        <f t="shared" si="9"/>
        <v>0</v>
      </c>
      <c r="H19" s="58">
        <f t="shared" si="9"/>
        <v>479289924</v>
      </c>
      <c r="I19" s="58">
        <f t="shared" si="9"/>
        <v>942995824</v>
      </c>
      <c r="J19" s="58">
        <f t="shared" si="7"/>
        <v>-463705900</v>
      </c>
      <c r="K19" s="58">
        <f>D19+J19</f>
        <v>1025796120</v>
      </c>
      <c r="L19" s="58">
        <f>+L20+L21</f>
        <v>1008977856</v>
      </c>
      <c r="M19" s="59">
        <f>+L19/K19</f>
        <v>0.98360467185233647</v>
      </c>
      <c r="N19" s="36">
        <f>+K19-[1]Julio!D18</f>
        <v>-2910347880</v>
      </c>
    </row>
    <row r="20" spans="1:14" x14ac:dyDescent="0.25">
      <c r="A20" s="17">
        <v>10141</v>
      </c>
      <c r="B20" s="57">
        <v>20</v>
      </c>
      <c r="C20" s="6" t="s">
        <v>162</v>
      </c>
      <c r="D20" s="58">
        <v>0</v>
      </c>
      <c r="E20" s="58">
        <v>0</v>
      </c>
      <c r="F20" s="58">
        <v>0</v>
      </c>
      <c r="G20" s="58">
        <v>0</v>
      </c>
      <c r="H20" s="58">
        <v>228289924</v>
      </c>
      <c r="I20" s="58">
        <v>190000000</v>
      </c>
      <c r="J20" s="58">
        <f t="shared" si="7"/>
        <v>38289924</v>
      </c>
      <c r="K20" s="58">
        <f>D20+J20</f>
        <v>38289924</v>
      </c>
      <c r="L20" s="58">
        <v>27808490</v>
      </c>
      <c r="M20" s="59">
        <f t="shared" si="3"/>
        <v>0.72626130049252646</v>
      </c>
      <c r="N20" s="36"/>
    </row>
    <row r="21" spans="1:14" x14ac:dyDescent="0.25">
      <c r="A21" s="17">
        <v>10142</v>
      </c>
      <c r="B21" s="57">
        <v>20</v>
      </c>
      <c r="C21" s="6" t="s">
        <v>11</v>
      </c>
      <c r="D21" s="58">
        <v>1489502020</v>
      </c>
      <c r="E21" s="58">
        <v>0</v>
      </c>
      <c r="F21" s="58">
        <v>0</v>
      </c>
      <c r="G21" s="58">
        <v>0</v>
      </c>
      <c r="H21" s="58">
        <v>251000000</v>
      </c>
      <c r="I21" s="58">
        <f>228289924+433705900+91000000</f>
        <v>752995824</v>
      </c>
      <c r="J21" s="58">
        <f t="shared" si="7"/>
        <v>-501995824</v>
      </c>
      <c r="K21" s="58">
        <f>D21+J21</f>
        <v>987506196</v>
      </c>
      <c r="L21" s="58">
        <v>981169366</v>
      </c>
      <c r="M21" s="59">
        <f t="shared" si="3"/>
        <v>0.99358299722506249</v>
      </c>
      <c r="N21" s="36">
        <f>+K21-[1]Julio!D20</f>
        <v>-2584362460</v>
      </c>
    </row>
    <row r="22" spans="1:14" ht="15.75" customHeight="1" x14ac:dyDescent="0.25">
      <c r="A22" s="17">
        <v>1015</v>
      </c>
      <c r="B22" s="57"/>
      <c r="C22" s="6" t="s">
        <v>12</v>
      </c>
      <c r="D22" s="58">
        <f>SUM(D23:D30)</f>
        <v>2453009670</v>
      </c>
      <c r="E22" s="58">
        <f t="shared" ref="E22:H22" si="10">SUM(E23:E30)</f>
        <v>0</v>
      </c>
      <c r="F22" s="58">
        <f t="shared" si="10"/>
        <v>0</v>
      </c>
      <c r="G22" s="58">
        <f t="shared" si="10"/>
        <v>0</v>
      </c>
      <c r="H22" s="58">
        <f t="shared" si="10"/>
        <v>26771000</v>
      </c>
      <c r="I22" s="58">
        <f>SUM(I23:I30)</f>
        <v>1372524000</v>
      </c>
      <c r="J22" s="58">
        <f>E22-F22-G22+H22-I22</f>
        <v>-1345753000</v>
      </c>
      <c r="K22" s="58">
        <f>D22+J22</f>
        <v>1107256670</v>
      </c>
      <c r="L22" s="58">
        <f>SUM(L23:L30)</f>
        <v>936341641</v>
      </c>
      <c r="M22" s="59">
        <f t="shared" si="3"/>
        <v>0.84564100300249267</v>
      </c>
      <c r="N22" s="36">
        <f>+K22-[1]Julio!D21</f>
        <v>-2991376330</v>
      </c>
    </row>
    <row r="23" spans="1:14" ht="31.5" x14ac:dyDescent="0.25">
      <c r="A23" s="17">
        <v>10152</v>
      </c>
      <c r="B23" s="6">
        <v>20</v>
      </c>
      <c r="C23" s="6" t="s">
        <v>13</v>
      </c>
      <c r="D23" s="58">
        <v>337221746</v>
      </c>
      <c r="E23" s="58">
        <v>0</v>
      </c>
      <c r="F23" s="58">
        <v>0</v>
      </c>
      <c r="G23" s="58">
        <v>0</v>
      </c>
      <c r="H23" s="58">
        <v>0</v>
      </c>
      <c r="I23" s="58">
        <f>703000+109806000+102956000+30000000</f>
        <v>243465000</v>
      </c>
      <c r="J23" s="58">
        <f t="shared" si="7"/>
        <v>-243465000</v>
      </c>
      <c r="K23" s="58">
        <f t="shared" si="8"/>
        <v>93756746</v>
      </c>
      <c r="L23" s="58">
        <v>82369944</v>
      </c>
      <c r="M23" s="59">
        <f t="shared" si="3"/>
        <v>0.87854951791948921</v>
      </c>
      <c r="N23" s="36">
        <f>+K23-[1]Julio!D22</f>
        <v>-472753464</v>
      </c>
    </row>
    <row r="24" spans="1:14" ht="31.5" x14ac:dyDescent="0.25">
      <c r="A24" s="17">
        <v>10155</v>
      </c>
      <c r="B24" s="6">
        <v>20</v>
      </c>
      <c r="C24" s="6" t="s">
        <v>14</v>
      </c>
      <c r="D24" s="58">
        <v>64232714</v>
      </c>
      <c r="E24" s="58">
        <v>0</v>
      </c>
      <c r="F24" s="58">
        <v>0</v>
      </c>
      <c r="G24" s="58">
        <v>0</v>
      </c>
      <c r="H24" s="58">
        <v>0</v>
      </c>
      <c r="I24" s="58">
        <f>38602000+7000000</f>
        <v>45602000</v>
      </c>
      <c r="J24" s="58">
        <f t="shared" si="7"/>
        <v>-45602000</v>
      </c>
      <c r="K24" s="58">
        <f t="shared" si="8"/>
        <v>18630714</v>
      </c>
      <c r="L24" s="58">
        <v>15377091</v>
      </c>
      <c r="M24" s="59">
        <f t="shared" si="3"/>
        <v>0.82536240962101615</v>
      </c>
      <c r="N24" s="36">
        <f>+K24-[1]Julio!D23</f>
        <v>-80352605</v>
      </c>
    </row>
    <row r="25" spans="1:14" x14ac:dyDescent="0.25">
      <c r="A25" s="17">
        <v>101512</v>
      </c>
      <c r="B25" s="6">
        <v>20</v>
      </c>
      <c r="C25" s="6" t="s">
        <v>15</v>
      </c>
      <c r="D25" s="58">
        <v>5000000</v>
      </c>
      <c r="E25" s="58">
        <v>0</v>
      </c>
      <c r="F25" s="58">
        <v>0</v>
      </c>
      <c r="G25" s="58">
        <v>0</v>
      </c>
      <c r="H25" s="58">
        <v>703000</v>
      </c>
      <c r="I25" s="58">
        <v>3422000</v>
      </c>
      <c r="J25" s="58">
        <f t="shared" si="7"/>
        <v>-2719000</v>
      </c>
      <c r="K25" s="58">
        <f t="shared" si="8"/>
        <v>2281000</v>
      </c>
      <c r="L25" s="58">
        <v>2165925</v>
      </c>
      <c r="M25" s="59">
        <f t="shared" si="3"/>
        <v>0.94955063568610254</v>
      </c>
      <c r="N25" s="36">
        <f>+K25-[1]Julio!D24</f>
        <v>411400</v>
      </c>
    </row>
    <row r="26" spans="1:14" x14ac:dyDescent="0.25">
      <c r="A26" s="17">
        <v>101513</v>
      </c>
      <c r="B26" s="6">
        <v>20</v>
      </c>
      <c r="C26" s="6" t="s">
        <v>130</v>
      </c>
      <c r="D26" s="58">
        <v>5000000</v>
      </c>
      <c r="E26" s="58">
        <v>0</v>
      </c>
      <c r="F26" s="58">
        <v>0</v>
      </c>
      <c r="G26" s="58">
        <v>0</v>
      </c>
      <c r="H26" s="58">
        <v>0</v>
      </c>
      <c r="I26" s="58">
        <v>3795000</v>
      </c>
      <c r="J26" s="58">
        <f t="shared" si="7"/>
        <v>-3795000</v>
      </c>
      <c r="K26" s="58">
        <f t="shared" si="8"/>
        <v>1205000</v>
      </c>
      <c r="L26" s="58">
        <v>1202600</v>
      </c>
      <c r="M26" s="59">
        <f t="shared" si="3"/>
        <v>0.99800829875518671</v>
      </c>
      <c r="N26" s="36"/>
    </row>
    <row r="27" spans="1:14" x14ac:dyDescent="0.25">
      <c r="A27" s="17">
        <v>101514</v>
      </c>
      <c r="B27" s="6">
        <v>20</v>
      </c>
      <c r="C27" s="6" t="s">
        <v>16</v>
      </c>
      <c r="D27" s="58">
        <v>495796258</v>
      </c>
      <c r="E27" s="58">
        <v>0</v>
      </c>
      <c r="F27" s="58">
        <v>0</v>
      </c>
      <c r="G27" s="58">
        <v>0</v>
      </c>
      <c r="H27" s="58">
        <v>0</v>
      </c>
      <c r="I27" s="58">
        <f>210978000+154045000+6000000</f>
        <v>371023000</v>
      </c>
      <c r="J27" s="58">
        <f t="shared" si="7"/>
        <v>-371023000</v>
      </c>
      <c r="K27" s="58">
        <f t="shared" si="8"/>
        <v>124773258</v>
      </c>
      <c r="L27" s="58">
        <v>117749045</v>
      </c>
      <c r="M27" s="59">
        <f t="shared" si="3"/>
        <v>0.94370417898360881</v>
      </c>
      <c r="N27" s="36">
        <f>+K27-[1]Julio!D25</f>
        <v>-724433193</v>
      </c>
    </row>
    <row r="28" spans="1:14" x14ac:dyDescent="0.25">
      <c r="A28" s="17">
        <v>101515</v>
      </c>
      <c r="B28" s="6">
        <v>20</v>
      </c>
      <c r="C28" s="6" t="s">
        <v>17</v>
      </c>
      <c r="D28" s="58">
        <v>481745352</v>
      </c>
      <c r="E28" s="58">
        <v>0</v>
      </c>
      <c r="F28" s="58">
        <v>0</v>
      </c>
      <c r="G28" s="58">
        <v>0</v>
      </c>
      <c r="H28" s="58">
        <v>0</v>
      </c>
      <c r="I28" s="58">
        <f>275909000+26068000+39000000</f>
        <v>340977000</v>
      </c>
      <c r="J28" s="58">
        <f t="shared" si="7"/>
        <v>-340977000</v>
      </c>
      <c r="K28" s="58">
        <f t="shared" si="8"/>
        <v>140768352</v>
      </c>
      <c r="L28" s="58">
        <v>121405542</v>
      </c>
      <c r="M28" s="59">
        <f t="shared" si="3"/>
        <v>0.86244912492830772</v>
      </c>
      <c r="N28" s="36">
        <f>+K28-[1]Julio!D26</f>
        <v>-573337205</v>
      </c>
    </row>
    <row r="29" spans="1:14" x14ac:dyDescent="0.25">
      <c r="A29" s="17">
        <v>101516</v>
      </c>
      <c r="B29" s="6">
        <v>20</v>
      </c>
      <c r="C29" s="6" t="s">
        <v>18</v>
      </c>
      <c r="D29" s="58">
        <v>1032013600</v>
      </c>
      <c r="E29" s="58">
        <v>0</v>
      </c>
      <c r="F29" s="58">
        <v>0</v>
      </c>
      <c r="G29" s="58">
        <v>0</v>
      </c>
      <c r="H29" s="58">
        <v>0</v>
      </c>
      <c r="I29" s="58">
        <f>1030000+151210000+180000000</f>
        <v>332240000</v>
      </c>
      <c r="J29" s="58">
        <f t="shared" si="7"/>
        <v>-332240000</v>
      </c>
      <c r="K29" s="58">
        <f t="shared" si="8"/>
        <v>699773600</v>
      </c>
      <c r="L29" s="58">
        <v>570003743</v>
      </c>
      <c r="M29" s="59">
        <f t="shared" si="3"/>
        <v>0.81455451163061887</v>
      </c>
      <c r="N29" s="36">
        <f>+K29-[1]Julio!D27</f>
        <v>-1108843883</v>
      </c>
    </row>
    <row r="30" spans="1:14" x14ac:dyDescent="0.25">
      <c r="A30" s="17">
        <v>101592</v>
      </c>
      <c r="B30" s="6">
        <v>20</v>
      </c>
      <c r="C30" s="6" t="s">
        <v>19</v>
      </c>
      <c r="D30" s="58">
        <v>32000000</v>
      </c>
      <c r="E30" s="58">
        <v>0</v>
      </c>
      <c r="F30" s="58">
        <v>0</v>
      </c>
      <c r="G30" s="58">
        <v>0</v>
      </c>
      <c r="H30" s="58">
        <v>26068000</v>
      </c>
      <c r="I30" s="58">
        <v>32000000</v>
      </c>
      <c r="J30" s="58">
        <f t="shared" si="7"/>
        <v>-5932000</v>
      </c>
      <c r="K30" s="58">
        <f t="shared" si="8"/>
        <v>26068000</v>
      </c>
      <c r="L30" s="58">
        <v>26067751</v>
      </c>
      <c r="M30" s="59">
        <f t="shared" si="3"/>
        <v>0.99999044805892279</v>
      </c>
      <c r="N30" s="36">
        <f>+K30-[1]Julio!D29</f>
        <v>-30600380</v>
      </c>
    </row>
    <row r="31" spans="1:14" ht="31.5" x14ac:dyDescent="0.25">
      <c r="A31" s="17">
        <v>10108</v>
      </c>
      <c r="B31" s="57">
        <v>20</v>
      </c>
      <c r="C31" s="6" t="s">
        <v>23</v>
      </c>
      <c r="D31" s="58">
        <v>723743695</v>
      </c>
      <c r="E31" s="58">
        <v>0</v>
      </c>
      <c r="F31" s="58">
        <v>0</v>
      </c>
      <c r="G31" s="58">
        <v>0</v>
      </c>
      <c r="H31" s="58">
        <v>0</v>
      </c>
      <c r="I31" s="58">
        <v>723700000</v>
      </c>
      <c r="J31" s="58">
        <f t="shared" si="7"/>
        <v>-723700000</v>
      </c>
      <c r="K31" s="58">
        <f t="shared" si="8"/>
        <v>43695</v>
      </c>
      <c r="L31" s="58">
        <v>0</v>
      </c>
      <c r="M31" s="59" t="s">
        <v>155</v>
      </c>
      <c r="N31" s="36"/>
    </row>
    <row r="32" spans="1:14" ht="31.5" x14ac:dyDescent="0.25">
      <c r="A32" s="17">
        <v>1019</v>
      </c>
      <c r="B32" s="57"/>
      <c r="C32" s="6" t="s">
        <v>20</v>
      </c>
      <c r="D32" s="58">
        <f>+D33+D34</f>
        <v>87361387</v>
      </c>
      <c r="E32" s="58">
        <f t="shared" ref="E32:G32" si="11">+E33+E34</f>
        <v>0</v>
      </c>
      <c r="F32" s="58">
        <f t="shared" si="11"/>
        <v>0</v>
      </c>
      <c r="G32" s="58">
        <f t="shared" si="11"/>
        <v>0</v>
      </c>
      <c r="H32" s="58">
        <f>+H33+H34</f>
        <v>148792083</v>
      </c>
      <c r="I32" s="58">
        <f>+I33+I34</f>
        <v>60053883</v>
      </c>
      <c r="J32" s="58">
        <f>E32-F32-G32+H32-I32</f>
        <v>88738200</v>
      </c>
      <c r="K32" s="58">
        <f t="shared" si="8"/>
        <v>176099587</v>
      </c>
      <c r="L32" s="58">
        <f t="shared" ref="L32" si="12">+L33+L34</f>
        <v>153829072</v>
      </c>
      <c r="M32" s="59">
        <f t="shared" si="3"/>
        <v>0.87353454156596066</v>
      </c>
      <c r="N32" s="36">
        <f>+K32-[1]Julio!D31</f>
        <v>-285502413</v>
      </c>
    </row>
    <row r="33" spans="1:16" x14ac:dyDescent="0.25">
      <c r="A33" s="17">
        <v>10191</v>
      </c>
      <c r="B33" s="57">
        <v>20</v>
      </c>
      <c r="C33" s="6" t="s">
        <v>21</v>
      </c>
      <c r="D33" s="58">
        <v>45000000</v>
      </c>
      <c r="E33" s="58">
        <v>0</v>
      </c>
      <c r="F33" s="58">
        <v>0</v>
      </c>
      <c r="G33" s="58">
        <v>0</v>
      </c>
      <c r="H33" s="58">
        <v>32000000</v>
      </c>
      <c r="I33" s="58">
        <f>25000000+3053883</f>
        <v>28053883</v>
      </c>
      <c r="J33" s="58">
        <f t="shared" si="7"/>
        <v>3946117</v>
      </c>
      <c r="K33" s="58">
        <f t="shared" si="8"/>
        <v>48946117</v>
      </c>
      <c r="L33" s="58">
        <v>47793791</v>
      </c>
      <c r="M33" s="59">
        <f t="shared" si="3"/>
        <v>0.97645725400443917</v>
      </c>
      <c r="N33" s="36">
        <f>+K33-[1]Julio!D32</f>
        <v>-61995883</v>
      </c>
    </row>
    <row r="34" spans="1:16" x14ac:dyDescent="0.25">
      <c r="A34" s="17">
        <v>10193</v>
      </c>
      <c r="B34" s="57">
        <v>20</v>
      </c>
      <c r="C34" s="6" t="s">
        <v>22</v>
      </c>
      <c r="D34" s="58">
        <v>42361387</v>
      </c>
      <c r="E34" s="58">
        <v>0</v>
      </c>
      <c r="F34" s="58">
        <v>0</v>
      </c>
      <c r="G34" s="58">
        <v>0</v>
      </c>
      <c r="H34" s="58">
        <f>25000000+3053883+61500000+27238200</f>
        <v>116792083</v>
      </c>
      <c r="I34" s="58">
        <v>32000000</v>
      </c>
      <c r="J34" s="58">
        <f t="shared" si="7"/>
        <v>84792083</v>
      </c>
      <c r="K34" s="58">
        <f t="shared" si="8"/>
        <v>127153470</v>
      </c>
      <c r="L34" s="58">
        <v>106035281</v>
      </c>
      <c r="M34" s="59">
        <f t="shared" si="3"/>
        <v>0.83391574763944709</v>
      </c>
      <c r="N34" s="36">
        <f>+K34-[1]Julio!D33</f>
        <v>-223506530</v>
      </c>
    </row>
    <row r="35" spans="1:16" x14ac:dyDescent="0.25">
      <c r="A35" s="17">
        <v>102</v>
      </c>
      <c r="B35" s="57"/>
      <c r="C35" s="6" t="s">
        <v>24</v>
      </c>
      <c r="D35" s="58">
        <f>+D36+D37+D38</f>
        <v>1600697280</v>
      </c>
      <c r="E35" s="58">
        <f t="shared" ref="E35:I35" si="13">+E36+E37+E38</f>
        <v>0</v>
      </c>
      <c r="F35" s="58">
        <f t="shared" si="13"/>
        <v>0</v>
      </c>
      <c r="G35" s="58">
        <f t="shared" si="13"/>
        <v>0</v>
      </c>
      <c r="H35" s="58">
        <f t="shared" si="13"/>
        <v>1847744975</v>
      </c>
      <c r="I35" s="58">
        <f t="shared" si="13"/>
        <v>525881280</v>
      </c>
      <c r="J35" s="58">
        <f t="shared" si="7"/>
        <v>1321863695</v>
      </c>
      <c r="K35" s="58">
        <f t="shared" si="8"/>
        <v>2922560975</v>
      </c>
      <c r="L35" s="58">
        <f t="shared" ref="L35" si="14">+L36+L37+L38</f>
        <v>1968831396</v>
      </c>
      <c r="M35" s="59">
        <f t="shared" si="3"/>
        <v>0.67366649073934204</v>
      </c>
      <c r="N35" s="36">
        <f>+K35-[1]Julio!D34</f>
        <v>-6115364964</v>
      </c>
    </row>
    <row r="36" spans="1:16" x14ac:dyDescent="0.25">
      <c r="A36" s="17">
        <v>10212</v>
      </c>
      <c r="B36" s="57">
        <v>20</v>
      </c>
      <c r="C36" s="6" t="s">
        <v>25</v>
      </c>
      <c r="D36" s="58">
        <v>1409616000</v>
      </c>
      <c r="E36" s="58">
        <v>0</v>
      </c>
      <c r="F36" s="58">
        <v>0</v>
      </c>
      <c r="G36" s="58">
        <v>0</v>
      </c>
      <c r="H36" s="58">
        <f>191081280+331740000+354923695</f>
        <v>877744975</v>
      </c>
      <c r="I36" s="58">
        <f>200800000+134000000</f>
        <v>334800000</v>
      </c>
      <c r="J36" s="58">
        <f t="shared" si="7"/>
        <v>542944975</v>
      </c>
      <c r="K36" s="58">
        <f t="shared" si="8"/>
        <v>1952560975</v>
      </c>
      <c r="L36" s="58">
        <v>1516496126</v>
      </c>
      <c r="M36" s="59">
        <f t="shared" si="3"/>
        <v>0.77667030398372061</v>
      </c>
      <c r="N36" s="36">
        <f>+K36-[1]Julio!D35</f>
        <v>1506891544</v>
      </c>
    </row>
    <row r="37" spans="1:16" x14ac:dyDescent="0.25">
      <c r="A37" s="17">
        <v>10214</v>
      </c>
      <c r="B37" s="57">
        <v>20</v>
      </c>
      <c r="C37" s="6" t="s">
        <v>26</v>
      </c>
      <c r="D37" s="58">
        <v>191081280</v>
      </c>
      <c r="E37" s="58">
        <v>0</v>
      </c>
      <c r="F37" s="58">
        <v>0</v>
      </c>
      <c r="G37" s="58">
        <v>0</v>
      </c>
      <c r="H37" s="58">
        <f>200800000+134000000+635200000</f>
        <v>970000000</v>
      </c>
      <c r="I37" s="58">
        <v>191081280</v>
      </c>
      <c r="J37" s="58">
        <f t="shared" si="7"/>
        <v>778918720</v>
      </c>
      <c r="K37" s="58">
        <f t="shared" si="8"/>
        <v>970000000</v>
      </c>
      <c r="L37" s="58">
        <v>452335270</v>
      </c>
      <c r="M37" s="59">
        <f t="shared" si="3"/>
        <v>0.46632502061855668</v>
      </c>
      <c r="N37" s="36">
        <f>+K37-[1]Julio!D36</f>
        <v>-7622256508</v>
      </c>
      <c r="P37" s="37">
        <f>+M37-5329252337</f>
        <v>-5329252336.5336752</v>
      </c>
    </row>
    <row r="38" spans="1:16" x14ac:dyDescent="0.25">
      <c r="A38" s="17">
        <v>10214</v>
      </c>
      <c r="B38" s="57">
        <v>21</v>
      </c>
      <c r="C38" s="6" t="s">
        <v>26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f t="shared" si="7"/>
        <v>0</v>
      </c>
      <c r="K38" s="58">
        <f t="shared" si="8"/>
        <v>0</v>
      </c>
      <c r="L38" s="58">
        <v>0</v>
      </c>
      <c r="M38" s="59" t="s">
        <v>155</v>
      </c>
      <c r="N38" s="36"/>
    </row>
    <row r="39" spans="1:16" ht="31.5" customHeight="1" x14ac:dyDescent="0.25">
      <c r="A39" s="17">
        <v>105</v>
      </c>
      <c r="B39" s="57"/>
      <c r="C39" s="6" t="s">
        <v>27</v>
      </c>
      <c r="D39" s="58">
        <f>+D40+D44+D48+D49</f>
        <v>4608029178</v>
      </c>
      <c r="E39" s="58">
        <f t="shared" ref="E39:I39" si="15">+E40+E44+E48+E49</f>
        <v>0</v>
      </c>
      <c r="F39" s="58">
        <f t="shared" si="15"/>
        <v>0</v>
      </c>
      <c r="G39" s="58">
        <f t="shared" si="15"/>
        <v>0</v>
      </c>
      <c r="H39" s="58">
        <f t="shared" si="15"/>
        <v>0</v>
      </c>
      <c r="I39" s="58">
        <f t="shared" si="15"/>
        <v>1522784000</v>
      </c>
      <c r="J39" s="58">
        <f t="shared" si="7"/>
        <v>-1522784000</v>
      </c>
      <c r="K39" s="58">
        <f t="shared" si="8"/>
        <v>3085245178</v>
      </c>
      <c r="L39" s="58">
        <f t="shared" ref="L39" si="16">+L40+L44+L48+L49</f>
        <v>2301852522</v>
      </c>
      <c r="M39" s="59">
        <f t="shared" si="3"/>
        <v>0.74608414864849359</v>
      </c>
      <c r="N39" s="36">
        <f>+K39-8124200000</f>
        <v>-5038954822</v>
      </c>
    </row>
    <row r="40" spans="1:16" ht="31.5" x14ac:dyDescent="0.25">
      <c r="A40" s="17">
        <v>1051</v>
      </c>
      <c r="B40" s="57"/>
      <c r="C40" s="6" t="s">
        <v>28</v>
      </c>
      <c r="D40" s="58">
        <f>+D41+D42+D43</f>
        <v>2326830049</v>
      </c>
      <c r="E40" s="58">
        <f t="shared" ref="E40:I40" si="17">+E41+E42+E43</f>
        <v>0</v>
      </c>
      <c r="F40" s="58">
        <f t="shared" si="17"/>
        <v>0</v>
      </c>
      <c r="G40" s="58">
        <f t="shared" si="17"/>
        <v>0</v>
      </c>
      <c r="H40" s="58">
        <f t="shared" si="17"/>
        <v>0</v>
      </c>
      <c r="I40" s="58">
        <f t="shared" si="17"/>
        <v>870880000</v>
      </c>
      <c r="J40" s="58">
        <f t="shared" si="7"/>
        <v>-870880000</v>
      </c>
      <c r="K40" s="58">
        <f t="shared" si="8"/>
        <v>1455950049</v>
      </c>
      <c r="L40" s="58">
        <f t="shared" ref="L40" si="18">+L41+L42+L43</f>
        <v>1215360518</v>
      </c>
      <c r="M40" s="59">
        <f t="shared" si="3"/>
        <v>0.83475426841377853</v>
      </c>
      <c r="N40" s="36">
        <f>+K40-[1]Julio!D38</f>
        <v>-2711931977</v>
      </c>
    </row>
    <row r="41" spans="1:16" x14ac:dyDescent="0.25">
      <c r="A41" s="17">
        <v>10511</v>
      </c>
      <c r="B41" s="57">
        <v>20</v>
      </c>
      <c r="C41" s="6" t="s">
        <v>29</v>
      </c>
      <c r="D41" s="58">
        <v>462475538</v>
      </c>
      <c r="E41" s="58">
        <v>0</v>
      </c>
      <c r="F41" s="58">
        <v>0</v>
      </c>
      <c r="G41" s="58">
        <v>0</v>
      </c>
      <c r="H41" s="58">
        <v>0</v>
      </c>
      <c r="I41" s="58">
        <f>18116000+88244000+107000000</f>
        <v>213360000</v>
      </c>
      <c r="J41" s="58">
        <f t="shared" si="7"/>
        <v>-213360000</v>
      </c>
      <c r="K41" s="58">
        <f t="shared" si="8"/>
        <v>249115538</v>
      </c>
      <c r="L41" s="58">
        <v>237903812</v>
      </c>
      <c r="M41" s="59">
        <f t="shared" si="3"/>
        <v>0.95499387115708534</v>
      </c>
      <c r="N41" s="36">
        <f>+K41-[1]Julio!D39</f>
        <v>-639029901</v>
      </c>
    </row>
    <row r="42" spans="1:16" ht="31.5" x14ac:dyDescent="0.25">
      <c r="A42" s="17">
        <v>10513</v>
      </c>
      <c r="B42" s="57">
        <v>20</v>
      </c>
      <c r="C42" s="6" t="s">
        <v>30</v>
      </c>
      <c r="D42" s="58">
        <v>881593994</v>
      </c>
      <c r="E42" s="58">
        <v>0</v>
      </c>
      <c r="F42" s="58">
        <v>0</v>
      </c>
      <c r="G42" s="58">
        <v>0</v>
      </c>
      <c r="H42" s="58">
        <v>0</v>
      </c>
      <c r="I42" s="58">
        <f>37395000+137373000+193000000</f>
        <v>367768000</v>
      </c>
      <c r="J42" s="58">
        <f t="shared" si="7"/>
        <v>-367768000</v>
      </c>
      <c r="K42" s="58">
        <f t="shared" si="8"/>
        <v>513825994</v>
      </c>
      <c r="L42" s="58">
        <v>486705816</v>
      </c>
      <c r="M42" s="59">
        <f t="shared" si="3"/>
        <v>0.94721913971522431</v>
      </c>
      <c r="N42" s="36">
        <f>+K42-[1]Julio!D40</f>
        <v>-1200825231</v>
      </c>
    </row>
    <row r="43" spans="1:16" ht="31.5" x14ac:dyDescent="0.25">
      <c r="A43" s="17">
        <v>10514</v>
      </c>
      <c r="B43" s="57">
        <v>20</v>
      </c>
      <c r="C43" s="6" t="s">
        <v>31</v>
      </c>
      <c r="D43" s="58">
        <v>982760517</v>
      </c>
      <c r="E43" s="58">
        <v>0</v>
      </c>
      <c r="F43" s="58">
        <v>0</v>
      </c>
      <c r="G43" s="58">
        <v>0</v>
      </c>
      <c r="H43" s="58">
        <v>0</v>
      </c>
      <c r="I43" s="58">
        <f>80313000+175439000+34000000</f>
        <v>289752000</v>
      </c>
      <c r="J43" s="58">
        <f t="shared" si="7"/>
        <v>-289752000</v>
      </c>
      <c r="K43" s="58">
        <f t="shared" si="8"/>
        <v>693008517</v>
      </c>
      <c r="L43" s="58">
        <v>490750890</v>
      </c>
      <c r="M43" s="59">
        <f t="shared" si="3"/>
        <v>0.70814553928490898</v>
      </c>
      <c r="N43" s="36">
        <f>+K43-[1]Julio!D41</f>
        <v>-872076845</v>
      </c>
    </row>
    <row r="44" spans="1:16" ht="31.5" x14ac:dyDescent="0.25">
      <c r="A44" s="17">
        <v>1052</v>
      </c>
      <c r="B44" s="57"/>
      <c r="C44" s="6" t="s">
        <v>32</v>
      </c>
      <c r="D44" s="58">
        <f>+D45+D46+D47</f>
        <v>1703104707</v>
      </c>
      <c r="E44" s="58">
        <f t="shared" ref="E44:I44" si="19">+E45+E46+E47</f>
        <v>0</v>
      </c>
      <c r="F44" s="58">
        <f t="shared" si="19"/>
        <v>0</v>
      </c>
      <c r="G44" s="58">
        <f t="shared" si="19"/>
        <v>0</v>
      </c>
      <c r="H44" s="58">
        <f t="shared" si="19"/>
        <v>0</v>
      </c>
      <c r="I44" s="58">
        <f t="shared" si="19"/>
        <v>518929000</v>
      </c>
      <c r="J44" s="58">
        <f t="shared" si="7"/>
        <v>-518929000</v>
      </c>
      <c r="K44" s="58">
        <f t="shared" si="8"/>
        <v>1184175707</v>
      </c>
      <c r="L44" s="58">
        <f t="shared" ref="L44" si="20">+L45+L46+L47</f>
        <v>788586870</v>
      </c>
      <c r="M44" s="59">
        <f t="shared" si="3"/>
        <v>0.66593738187537399</v>
      </c>
      <c r="N44" s="36">
        <f>+K44-[1]Julio!D42</f>
        <v>-1693939890</v>
      </c>
    </row>
    <row r="45" spans="1:16" x14ac:dyDescent="0.25">
      <c r="A45" s="17">
        <v>10522</v>
      </c>
      <c r="B45" s="57">
        <v>20</v>
      </c>
      <c r="C45" s="6" t="s">
        <v>33</v>
      </c>
      <c r="D45" s="58">
        <v>1079109588</v>
      </c>
      <c r="E45" s="58">
        <v>0</v>
      </c>
      <c r="F45" s="58">
        <v>0</v>
      </c>
      <c r="G45" s="58">
        <v>0</v>
      </c>
      <c r="H45" s="58">
        <v>0</v>
      </c>
      <c r="I45" s="58">
        <f>52458000+204916000</f>
        <v>257374000</v>
      </c>
      <c r="J45" s="58">
        <f t="shared" si="7"/>
        <v>-257374000</v>
      </c>
      <c r="K45" s="58">
        <f t="shared" si="8"/>
        <v>821735588</v>
      </c>
      <c r="L45" s="58">
        <v>560761586</v>
      </c>
      <c r="M45" s="59">
        <f t="shared" si="3"/>
        <v>0.68241122106543106</v>
      </c>
      <c r="N45" s="36">
        <f>+K45-[1]Julio!D43</f>
        <v>-1182340943</v>
      </c>
    </row>
    <row r="46" spans="1:16" ht="31.5" x14ac:dyDescent="0.25">
      <c r="A46" s="17">
        <v>10523</v>
      </c>
      <c r="B46" s="57">
        <v>20</v>
      </c>
      <c r="C46" s="6" t="s">
        <v>34</v>
      </c>
      <c r="D46" s="58">
        <v>563642061</v>
      </c>
      <c r="E46" s="58">
        <v>0</v>
      </c>
      <c r="F46" s="58">
        <v>0</v>
      </c>
      <c r="G46" s="58">
        <v>0</v>
      </c>
      <c r="H46" s="58">
        <v>0</v>
      </c>
      <c r="I46" s="58">
        <f>171026000+75028000</f>
        <v>246054000</v>
      </c>
      <c r="J46" s="58">
        <f t="shared" si="7"/>
        <v>-246054000</v>
      </c>
      <c r="K46" s="58">
        <f t="shared" si="8"/>
        <v>317588061</v>
      </c>
      <c r="L46" s="58">
        <v>198043991</v>
      </c>
      <c r="M46" s="59">
        <f t="shared" si="3"/>
        <v>0.62358764487686458</v>
      </c>
      <c r="N46" s="36">
        <f>+K46-[1]Julio!D44</f>
        <v>-449605345</v>
      </c>
    </row>
    <row r="47" spans="1:16" ht="63" x14ac:dyDescent="0.25">
      <c r="A47" s="17">
        <v>10527</v>
      </c>
      <c r="B47" s="57">
        <v>20</v>
      </c>
      <c r="C47" s="6" t="s">
        <v>35</v>
      </c>
      <c r="D47" s="58">
        <v>60353058</v>
      </c>
      <c r="E47" s="58">
        <v>0</v>
      </c>
      <c r="F47" s="58">
        <v>0</v>
      </c>
      <c r="G47" s="58">
        <v>0</v>
      </c>
      <c r="H47" s="58">
        <v>0</v>
      </c>
      <c r="I47" s="58">
        <f>8709000+6792000</f>
        <v>15501000</v>
      </c>
      <c r="J47" s="58">
        <f t="shared" si="7"/>
        <v>-15501000</v>
      </c>
      <c r="K47" s="58">
        <f t="shared" si="8"/>
        <v>44852058</v>
      </c>
      <c r="L47" s="58">
        <v>29781293</v>
      </c>
      <c r="M47" s="59">
        <f t="shared" si="3"/>
        <v>0.6639894428032711</v>
      </c>
      <c r="N47" s="36">
        <f>+K47-[1]Julio!D45</f>
        <v>-61993602</v>
      </c>
    </row>
    <row r="48" spans="1:16" x14ac:dyDescent="0.25">
      <c r="A48" s="17">
        <v>1056</v>
      </c>
      <c r="B48" s="57">
        <v>20</v>
      </c>
      <c r="C48" s="6" t="s">
        <v>36</v>
      </c>
      <c r="D48" s="58">
        <v>346856653</v>
      </c>
      <c r="E48" s="58">
        <v>0</v>
      </c>
      <c r="F48" s="58">
        <v>0</v>
      </c>
      <c r="G48" s="58">
        <v>0</v>
      </c>
      <c r="H48" s="58">
        <v>0</v>
      </c>
      <c r="I48" s="58">
        <f>13589000+66205000</f>
        <v>79794000</v>
      </c>
      <c r="J48" s="58">
        <f t="shared" si="7"/>
        <v>-79794000</v>
      </c>
      <c r="K48" s="58">
        <f t="shared" si="8"/>
        <v>267062653</v>
      </c>
      <c r="L48" s="58">
        <v>178739505</v>
      </c>
      <c r="M48" s="59">
        <f t="shared" si="3"/>
        <v>0.66927929829259958</v>
      </c>
      <c r="N48" s="36">
        <f>+K48-[1]Julio!D46</f>
        <v>-372559022</v>
      </c>
    </row>
    <row r="49" spans="1:51" x14ac:dyDescent="0.25">
      <c r="A49" s="17">
        <v>1057</v>
      </c>
      <c r="B49" s="57">
        <v>20</v>
      </c>
      <c r="C49" s="6" t="s">
        <v>37</v>
      </c>
      <c r="D49" s="58">
        <v>231237769</v>
      </c>
      <c r="E49" s="58">
        <v>0</v>
      </c>
      <c r="F49" s="58">
        <v>0</v>
      </c>
      <c r="G49" s="58">
        <v>0</v>
      </c>
      <c r="H49" s="58">
        <v>0</v>
      </c>
      <c r="I49" s="58">
        <f>9058000+44123000</f>
        <v>53181000</v>
      </c>
      <c r="J49" s="58">
        <f t="shared" si="7"/>
        <v>-53181000</v>
      </c>
      <c r="K49" s="58">
        <f t="shared" si="8"/>
        <v>178056769</v>
      </c>
      <c r="L49" s="58">
        <v>119165629</v>
      </c>
      <c r="M49" s="59">
        <f t="shared" si="3"/>
        <v>0.66925638193513437</v>
      </c>
      <c r="N49" s="36">
        <f>+K49-[1]Julio!D47</f>
        <v>-266015933</v>
      </c>
    </row>
    <row r="50" spans="1:51" x14ac:dyDescent="0.25">
      <c r="A50" s="17">
        <v>2</v>
      </c>
      <c r="B50" s="57"/>
      <c r="C50" s="6" t="s">
        <v>38</v>
      </c>
      <c r="D50" s="58">
        <f>+D51</f>
        <v>5209130175</v>
      </c>
      <c r="E50" s="58">
        <f t="shared" ref="E50:I50" si="21">+E51</f>
        <v>0</v>
      </c>
      <c r="F50" s="58">
        <f t="shared" si="21"/>
        <v>0</v>
      </c>
      <c r="G50" s="58">
        <f t="shared" si="21"/>
        <v>0</v>
      </c>
      <c r="H50" s="58">
        <f t="shared" si="21"/>
        <v>10298474677</v>
      </c>
      <c r="I50" s="58">
        <f t="shared" si="21"/>
        <v>2802186377</v>
      </c>
      <c r="J50" s="58">
        <f t="shared" si="7"/>
        <v>7496288300</v>
      </c>
      <c r="K50" s="58">
        <f t="shared" si="8"/>
        <v>12705418475</v>
      </c>
      <c r="L50" s="58">
        <f>+L51</f>
        <v>10262956652.84</v>
      </c>
      <c r="M50" s="59">
        <f t="shared" si="3"/>
        <v>0.80776219004781735</v>
      </c>
      <c r="N50" s="36">
        <f>+K50-[1]Julio!D57</f>
        <v>3268418475</v>
      </c>
      <c r="AY50" s="37"/>
    </row>
    <row r="51" spans="1:51" x14ac:dyDescent="0.25">
      <c r="A51" s="17">
        <v>20</v>
      </c>
      <c r="B51" s="57"/>
      <c r="C51" s="6" t="s">
        <v>38</v>
      </c>
      <c r="D51" s="58">
        <f>+D52+D56</f>
        <v>5209130175</v>
      </c>
      <c r="E51" s="58">
        <f t="shared" ref="E51:I51" si="22">+E52+E56</f>
        <v>0</v>
      </c>
      <c r="F51" s="58">
        <f t="shared" si="22"/>
        <v>0</v>
      </c>
      <c r="G51" s="58">
        <f t="shared" si="22"/>
        <v>0</v>
      </c>
      <c r="H51" s="58">
        <f t="shared" si="22"/>
        <v>10298474677</v>
      </c>
      <c r="I51" s="58">
        <f t="shared" si="22"/>
        <v>2802186377</v>
      </c>
      <c r="J51" s="58">
        <f t="shared" si="7"/>
        <v>7496288300</v>
      </c>
      <c r="K51" s="58">
        <f>D51+J51</f>
        <v>12705418475</v>
      </c>
      <c r="L51" s="58">
        <f>+L52+L56</f>
        <v>10262956652.84</v>
      </c>
      <c r="M51" s="59">
        <f t="shared" si="3"/>
        <v>0.80776219004781735</v>
      </c>
      <c r="N51" s="36">
        <f>+K51-[1]Julio!D58</f>
        <v>3268418475</v>
      </c>
    </row>
    <row r="52" spans="1:51" x14ac:dyDescent="0.25">
      <c r="A52" s="17">
        <v>203</v>
      </c>
      <c r="B52" s="57"/>
      <c r="C52" s="6" t="s">
        <v>39</v>
      </c>
      <c r="D52" s="58">
        <f>+D53</f>
        <v>17300000</v>
      </c>
      <c r="E52" s="58">
        <f t="shared" ref="E52:I52" si="23">+E53</f>
        <v>0</v>
      </c>
      <c r="F52" s="58">
        <f t="shared" si="23"/>
        <v>0</v>
      </c>
      <c r="G52" s="58">
        <f t="shared" si="23"/>
        <v>0</v>
      </c>
      <c r="H52" s="58">
        <f t="shared" si="23"/>
        <v>0</v>
      </c>
      <c r="I52" s="58">
        <f t="shared" si="23"/>
        <v>16448000</v>
      </c>
      <c r="J52" s="58">
        <f t="shared" si="7"/>
        <v>-16448000</v>
      </c>
      <c r="K52" s="58">
        <f>D52+J52</f>
        <v>852000</v>
      </c>
      <c r="L52" s="58">
        <f t="shared" ref="L52" si="24">+L53</f>
        <v>851394</v>
      </c>
      <c r="M52" s="59">
        <f t="shared" si="3"/>
        <v>0.99928873239436622</v>
      </c>
      <c r="N52" s="36">
        <f>+K52-[1]Julio!D59</f>
        <v>-17048000</v>
      </c>
    </row>
    <row r="53" spans="1:51" x14ac:dyDescent="0.25">
      <c r="A53" s="17">
        <v>20350</v>
      </c>
      <c r="B53" s="57"/>
      <c r="C53" s="6" t="s">
        <v>40</v>
      </c>
      <c r="D53" s="58">
        <f>+D54+D55</f>
        <v>17300000</v>
      </c>
      <c r="E53" s="58">
        <f>+E54+E55</f>
        <v>0</v>
      </c>
      <c r="F53" s="58">
        <f>+F54+F55</f>
        <v>0</v>
      </c>
      <c r="G53" s="58">
        <f>+G54+G55</f>
        <v>0</v>
      </c>
      <c r="H53" s="58">
        <f>+H54+H55</f>
        <v>0</v>
      </c>
      <c r="I53" s="58">
        <f t="shared" ref="I53" si="25">+I54+I55</f>
        <v>16448000</v>
      </c>
      <c r="J53" s="58">
        <f t="shared" si="7"/>
        <v>-16448000</v>
      </c>
      <c r="K53" s="58">
        <f t="shared" si="8"/>
        <v>852000</v>
      </c>
      <c r="L53" s="58">
        <f t="shared" ref="L53" si="26">+L54+L55</f>
        <v>851394</v>
      </c>
      <c r="M53" s="59">
        <f t="shared" si="3"/>
        <v>0.99928873239436622</v>
      </c>
      <c r="N53" s="36">
        <f>+K53-[1]Julio!D60</f>
        <v>-17048000</v>
      </c>
    </row>
    <row r="54" spans="1:51" x14ac:dyDescent="0.25">
      <c r="A54" s="17">
        <v>203502</v>
      </c>
      <c r="B54" s="57">
        <v>20</v>
      </c>
      <c r="C54" s="6" t="s">
        <v>41</v>
      </c>
      <c r="D54" s="58">
        <v>2000000</v>
      </c>
      <c r="E54" s="58">
        <v>0</v>
      </c>
      <c r="F54" s="58">
        <v>0</v>
      </c>
      <c r="G54" s="58">
        <v>0</v>
      </c>
      <c r="H54" s="58">
        <v>0</v>
      </c>
      <c r="I54" s="58">
        <v>1148000</v>
      </c>
      <c r="J54" s="58">
        <f t="shared" si="7"/>
        <v>-1148000</v>
      </c>
      <c r="K54" s="58">
        <f t="shared" si="8"/>
        <v>852000</v>
      </c>
      <c r="L54" s="58">
        <v>851394</v>
      </c>
      <c r="M54" s="59">
        <f t="shared" si="3"/>
        <v>0.99928873239436622</v>
      </c>
      <c r="N54" s="36">
        <f>+K54-[1]Julio!D61</f>
        <v>-148000</v>
      </c>
    </row>
    <row r="55" spans="1:51" x14ac:dyDescent="0.25">
      <c r="A55" s="17">
        <v>203503</v>
      </c>
      <c r="B55" s="57">
        <v>20</v>
      </c>
      <c r="C55" s="6" t="s">
        <v>42</v>
      </c>
      <c r="D55" s="58">
        <v>15300000</v>
      </c>
      <c r="E55" s="58">
        <v>0</v>
      </c>
      <c r="F55" s="58">
        <v>0</v>
      </c>
      <c r="G55" s="58">
        <v>0</v>
      </c>
      <c r="H55" s="58">
        <v>0</v>
      </c>
      <c r="I55" s="58">
        <v>15300000</v>
      </c>
      <c r="J55" s="58">
        <f t="shared" si="7"/>
        <v>-15300000</v>
      </c>
      <c r="K55" s="58">
        <f t="shared" si="8"/>
        <v>0</v>
      </c>
      <c r="L55" s="58">
        <v>0</v>
      </c>
      <c r="M55" s="59" t="s">
        <v>155</v>
      </c>
      <c r="N55" s="36">
        <f>+K55-[1]Julio!D62</f>
        <v>-16900000</v>
      </c>
    </row>
    <row r="56" spans="1:51" x14ac:dyDescent="0.25">
      <c r="A56" s="17">
        <v>204</v>
      </c>
      <c r="B56" s="57"/>
      <c r="C56" s="6" t="s">
        <v>43</v>
      </c>
      <c r="D56" s="58">
        <f>+D57+D63+D66+D78+D87+D92+D96+D101+D105+D108+D111+D112+D116+D118</f>
        <v>5191830175</v>
      </c>
      <c r="E56" s="58">
        <f t="shared" ref="E56:H56" si="27">+E57+E63+E66+E78+E87+E92+E96+E101+E105+E108+E111+E112+E116+E118</f>
        <v>0</v>
      </c>
      <c r="F56" s="58">
        <f t="shared" si="27"/>
        <v>0</v>
      </c>
      <c r="G56" s="58">
        <f t="shared" si="27"/>
        <v>0</v>
      </c>
      <c r="H56" s="58">
        <f t="shared" si="27"/>
        <v>10298474677</v>
      </c>
      <c r="I56" s="58">
        <f>+I57+I63+I66+I78+I87+I92+I96+I101+I105+I108+I111+I112+I116+I118</f>
        <v>2785738377</v>
      </c>
      <c r="J56" s="58">
        <f t="shared" si="7"/>
        <v>7512736300</v>
      </c>
      <c r="K56" s="58">
        <f t="shared" si="8"/>
        <v>12704566475</v>
      </c>
      <c r="L56" s="58">
        <f>+L57+L63+L66+L78+L87+L92+L96+L101+L105+L108+L111+L112+L116+L1155+L118</f>
        <v>10262105258.84</v>
      </c>
      <c r="M56" s="59">
        <f t="shared" si="3"/>
        <v>0.80774934579890889</v>
      </c>
      <c r="N56" s="36">
        <f>+K56-[1]Julio!D63</f>
        <v>3285466475</v>
      </c>
    </row>
    <row r="57" spans="1:51" x14ac:dyDescent="0.25">
      <c r="A57" s="17">
        <v>2041</v>
      </c>
      <c r="B57" s="57"/>
      <c r="C57" s="6" t="s">
        <v>131</v>
      </c>
      <c r="D57" s="58">
        <f>SUM(D58:D62)</f>
        <v>101727823</v>
      </c>
      <c r="E57" s="58">
        <f t="shared" ref="E57:I57" si="28">SUM(E58:E62)</f>
        <v>0</v>
      </c>
      <c r="F57" s="58">
        <f t="shared" si="28"/>
        <v>0</v>
      </c>
      <c r="G57" s="58">
        <f t="shared" si="28"/>
        <v>0</v>
      </c>
      <c r="H57" s="58">
        <f t="shared" si="28"/>
        <v>1544684000</v>
      </c>
      <c r="I57" s="58">
        <f t="shared" si="28"/>
        <v>0</v>
      </c>
      <c r="J57" s="58">
        <f t="shared" si="7"/>
        <v>1544684000</v>
      </c>
      <c r="K57" s="58">
        <f t="shared" si="8"/>
        <v>1646411823</v>
      </c>
      <c r="L57" s="58">
        <f t="shared" ref="L57" si="29">SUM(L58:L62)</f>
        <v>560562041</v>
      </c>
      <c r="M57" s="59">
        <f t="shared" si="3"/>
        <v>0.34047498515807245</v>
      </c>
      <c r="N57" s="36"/>
    </row>
    <row r="58" spans="1:51" x14ac:dyDescent="0.25">
      <c r="A58" s="17">
        <v>20414</v>
      </c>
      <c r="B58" s="57">
        <v>20</v>
      </c>
      <c r="C58" s="6" t="s">
        <v>132</v>
      </c>
      <c r="D58" s="58">
        <v>23991584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f t="shared" si="7"/>
        <v>0</v>
      </c>
      <c r="K58" s="58">
        <f t="shared" si="8"/>
        <v>23991584</v>
      </c>
      <c r="L58" s="58">
        <v>23975584</v>
      </c>
      <c r="M58" s="59">
        <f t="shared" si="3"/>
        <v>0.99933309947354876</v>
      </c>
      <c r="N58" s="36"/>
    </row>
    <row r="59" spans="1:51" x14ac:dyDescent="0.25">
      <c r="A59" s="17">
        <v>20416</v>
      </c>
      <c r="B59" s="57">
        <v>20</v>
      </c>
      <c r="C59" s="6" t="s">
        <v>133</v>
      </c>
      <c r="D59" s="58">
        <v>10796213</v>
      </c>
      <c r="E59" s="58">
        <v>0</v>
      </c>
      <c r="F59" s="58">
        <v>0</v>
      </c>
      <c r="G59" s="58">
        <v>0</v>
      </c>
      <c r="H59" s="58">
        <f>555164000+502000000</f>
        <v>1057164000</v>
      </c>
      <c r="I59" s="58">
        <v>0</v>
      </c>
      <c r="J59" s="58">
        <f t="shared" si="7"/>
        <v>1057164000</v>
      </c>
      <c r="K59" s="58">
        <f t="shared" si="8"/>
        <v>1067960213</v>
      </c>
      <c r="L59" s="58">
        <v>69554822</v>
      </c>
      <c r="M59" s="59">
        <f t="shared" si="3"/>
        <v>6.5128664114381202E-2</v>
      </c>
      <c r="N59" s="36"/>
    </row>
    <row r="60" spans="1:51" x14ac:dyDescent="0.25">
      <c r="A60" s="17">
        <v>20418</v>
      </c>
      <c r="B60" s="57">
        <v>20</v>
      </c>
      <c r="C60" s="6" t="s">
        <v>134</v>
      </c>
      <c r="D60" s="58">
        <v>63341288</v>
      </c>
      <c r="E60" s="58">
        <v>0</v>
      </c>
      <c r="F60" s="58">
        <v>0</v>
      </c>
      <c r="G60" s="58">
        <v>0</v>
      </c>
      <c r="H60" s="58">
        <f>50200000+331320000+50000000</f>
        <v>431520000</v>
      </c>
      <c r="I60" s="58">
        <v>0</v>
      </c>
      <c r="J60" s="58">
        <f t="shared" si="7"/>
        <v>431520000</v>
      </c>
      <c r="K60" s="58">
        <f t="shared" si="8"/>
        <v>494861288</v>
      </c>
      <c r="L60" s="58">
        <v>409722301</v>
      </c>
      <c r="M60" s="59">
        <f t="shared" si="3"/>
        <v>0.82795383461072025</v>
      </c>
      <c r="N60" s="36"/>
    </row>
    <row r="61" spans="1:51" x14ac:dyDescent="0.25">
      <c r="A61" s="17">
        <v>204116</v>
      </c>
      <c r="B61" s="57">
        <v>20</v>
      </c>
      <c r="C61" s="6" t="s">
        <v>163</v>
      </c>
      <c r="D61" s="58">
        <v>0</v>
      </c>
      <c r="E61" s="58">
        <v>0</v>
      </c>
      <c r="F61" s="58">
        <v>0</v>
      </c>
      <c r="G61" s="58">
        <v>0</v>
      </c>
      <c r="H61" s="58">
        <v>56000000</v>
      </c>
      <c r="I61" s="58">
        <v>0</v>
      </c>
      <c r="J61" s="58">
        <f t="shared" si="7"/>
        <v>56000000</v>
      </c>
      <c r="K61" s="58">
        <f t="shared" si="8"/>
        <v>56000000</v>
      </c>
      <c r="L61" s="58">
        <v>53713108</v>
      </c>
      <c r="M61" s="59">
        <f t="shared" si="3"/>
        <v>0.95916264285714281</v>
      </c>
      <c r="N61" s="36"/>
    </row>
    <row r="62" spans="1:51" x14ac:dyDescent="0.25">
      <c r="A62" s="17">
        <v>204125</v>
      </c>
      <c r="B62" s="57">
        <v>20</v>
      </c>
      <c r="C62" s="6" t="s">
        <v>154</v>
      </c>
      <c r="D62" s="58">
        <v>3598738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f t="shared" si="7"/>
        <v>0</v>
      </c>
      <c r="K62" s="58">
        <f t="shared" si="8"/>
        <v>3598738</v>
      </c>
      <c r="L62" s="58">
        <v>3596226</v>
      </c>
      <c r="M62" s="59">
        <f t="shared" si="3"/>
        <v>0.99930197752656624</v>
      </c>
      <c r="N62" s="36"/>
    </row>
    <row r="63" spans="1:51" x14ac:dyDescent="0.25">
      <c r="A63" s="17">
        <v>2042</v>
      </c>
      <c r="B63" s="57"/>
      <c r="C63" s="6" t="s">
        <v>135</v>
      </c>
      <c r="D63" s="58">
        <f>+D64+D65</f>
        <v>75266457</v>
      </c>
      <c r="E63" s="58">
        <f t="shared" ref="E63:I63" si="30">+E64+E65</f>
        <v>0</v>
      </c>
      <c r="F63" s="58">
        <f t="shared" si="30"/>
        <v>0</v>
      </c>
      <c r="G63" s="58">
        <f t="shared" si="30"/>
        <v>0</v>
      </c>
      <c r="H63" s="58">
        <f t="shared" si="30"/>
        <v>1089700000</v>
      </c>
      <c r="I63" s="58">
        <f t="shared" si="30"/>
        <v>0</v>
      </c>
      <c r="J63" s="58">
        <f t="shared" si="7"/>
        <v>1089700000</v>
      </c>
      <c r="K63" s="58">
        <f t="shared" si="8"/>
        <v>1164966457</v>
      </c>
      <c r="L63" s="58">
        <f t="shared" ref="L63" si="31">+L64+L65</f>
        <v>927811373</v>
      </c>
      <c r="M63" s="59">
        <f t="shared" si="3"/>
        <v>0.79642754297774598</v>
      </c>
      <c r="N63" s="36"/>
    </row>
    <row r="64" spans="1:51" x14ac:dyDescent="0.25">
      <c r="A64" s="17">
        <v>20421</v>
      </c>
      <c r="B64" s="57">
        <v>20</v>
      </c>
      <c r="C64" s="6" t="s">
        <v>136</v>
      </c>
      <c r="D64" s="58">
        <v>30289363</v>
      </c>
      <c r="E64" s="58">
        <v>0</v>
      </c>
      <c r="F64" s="58">
        <v>0</v>
      </c>
      <c r="G64" s="58">
        <v>0</v>
      </c>
      <c r="H64" s="58">
        <v>100000000</v>
      </c>
      <c r="I64" s="58">
        <v>0</v>
      </c>
      <c r="J64" s="58">
        <f t="shared" si="7"/>
        <v>100000000</v>
      </c>
      <c r="K64" s="58">
        <f t="shared" si="8"/>
        <v>130289363</v>
      </c>
      <c r="L64" s="58">
        <v>80669081</v>
      </c>
      <c r="M64" s="59">
        <f t="shared" si="3"/>
        <v>0.61915323816572809</v>
      </c>
      <c r="N64" s="36"/>
    </row>
    <row r="65" spans="1:14" x14ac:dyDescent="0.25">
      <c r="A65" s="17">
        <v>20422</v>
      </c>
      <c r="B65" s="57">
        <v>20</v>
      </c>
      <c r="C65" s="6" t="s">
        <v>137</v>
      </c>
      <c r="D65" s="58">
        <v>44977094</v>
      </c>
      <c r="E65" s="58">
        <v>0</v>
      </c>
      <c r="F65" s="58">
        <v>0</v>
      </c>
      <c r="G65" s="58">
        <v>0</v>
      </c>
      <c r="H65" s="58">
        <f>552200000+437500000</f>
        <v>989700000</v>
      </c>
      <c r="I65" s="58">
        <v>0</v>
      </c>
      <c r="J65" s="58">
        <f t="shared" si="7"/>
        <v>989700000</v>
      </c>
      <c r="K65" s="58">
        <f t="shared" si="8"/>
        <v>1034677094</v>
      </c>
      <c r="L65" s="58">
        <v>847142292</v>
      </c>
      <c r="M65" s="59">
        <f t="shared" si="3"/>
        <v>0.81875040716809377</v>
      </c>
      <c r="N65" s="36"/>
    </row>
    <row r="66" spans="1:14" x14ac:dyDescent="0.25">
      <c r="A66" s="17">
        <v>2044</v>
      </c>
      <c r="B66" s="57"/>
      <c r="C66" s="6" t="s">
        <v>44</v>
      </c>
      <c r="D66" s="58">
        <f>SUM(D67:D77)</f>
        <v>280849297</v>
      </c>
      <c r="E66" s="58">
        <f t="shared" ref="E66:I66" si="32">SUM(E67:E77)</f>
        <v>0</v>
      </c>
      <c r="F66" s="58">
        <f t="shared" si="32"/>
        <v>0</v>
      </c>
      <c r="G66" s="58">
        <f t="shared" si="32"/>
        <v>0</v>
      </c>
      <c r="H66" s="58">
        <f t="shared" si="32"/>
        <v>122452000</v>
      </c>
      <c r="I66" s="58">
        <f t="shared" si="32"/>
        <v>157083000</v>
      </c>
      <c r="J66" s="58">
        <f t="shared" si="7"/>
        <v>-34631000</v>
      </c>
      <c r="K66" s="58">
        <f t="shared" si="8"/>
        <v>246218297</v>
      </c>
      <c r="L66" s="58">
        <f t="shared" ref="L66" si="33">SUM(L67:L77)</f>
        <v>211543895.01000002</v>
      </c>
      <c r="M66" s="59">
        <f t="shared" si="3"/>
        <v>0.85917211510077185</v>
      </c>
      <c r="N66" s="36">
        <f>+K66-[1]Julio!D73</f>
        <v>20826510</v>
      </c>
    </row>
    <row r="67" spans="1:14" x14ac:dyDescent="0.25">
      <c r="A67" s="17">
        <v>20441</v>
      </c>
      <c r="B67" s="57">
        <v>20</v>
      </c>
      <c r="C67" s="6" t="s">
        <v>45</v>
      </c>
      <c r="D67" s="58">
        <v>66926923</v>
      </c>
      <c r="E67" s="58">
        <v>0</v>
      </c>
      <c r="F67" s="58">
        <v>0</v>
      </c>
      <c r="G67" s="58">
        <v>0</v>
      </c>
      <c r="H67" s="58">
        <v>19076000</v>
      </c>
      <c r="I67" s="58">
        <v>4000000</v>
      </c>
      <c r="J67" s="58">
        <f t="shared" si="7"/>
        <v>15076000</v>
      </c>
      <c r="K67" s="58">
        <f t="shared" si="8"/>
        <v>82002923</v>
      </c>
      <c r="L67" s="58">
        <v>75226160.989999995</v>
      </c>
      <c r="M67" s="59">
        <f t="shared" si="3"/>
        <v>0.91735950668490185</v>
      </c>
      <c r="N67" s="36">
        <f>+K67-[1]Julio!D74</f>
        <v>-8414921</v>
      </c>
    </row>
    <row r="68" spans="1:14" x14ac:dyDescent="0.25">
      <c r="A68" s="17">
        <v>20442</v>
      </c>
      <c r="B68" s="57">
        <v>20</v>
      </c>
      <c r="C68" s="6" t="s">
        <v>46</v>
      </c>
      <c r="D68" s="58">
        <v>7648227</v>
      </c>
      <c r="E68" s="58">
        <v>0</v>
      </c>
      <c r="F68" s="58">
        <v>0</v>
      </c>
      <c r="G68" s="58">
        <v>0</v>
      </c>
      <c r="H68" s="58">
        <v>0</v>
      </c>
      <c r="I68" s="58">
        <v>5997000</v>
      </c>
      <c r="J68" s="58">
        <f t="shared" si="7"/>
        <v>-5997000</v>
      </c>
      <c r="K68" s="58">
        <f t="shared" si="8"/>
        <v>1651227</v>
      </c>
      <c r="L68" s="58">
        <v>1650579</v>
      </c>
      <c r="M68" s="59">
        <f t="shared" si="3"/>
        <v>0.99960756455653887</v>
      </c>
      <c r="N68" s="36">
        <f>+K68-[1]Julio!D75</f>
        <v>-9314664</v>
      </c>
    </row>
    <row r="69" spans="1:14" x14ac:dyDescent="0.25">
      <c r="A69" s="17">
        <v>20446</v>
      </c>
      <c r="B69" s="57">
        <v>20</v>
      </c>
      <c r="C69" s="6" t="s">
        <v>138</v>
      </c>
      <c r="D69" s="58">
        <v>8097160</v>
      </c>
      <c r="E69" s="58">
        <v>0</v>
      </c>
      <c r="F69" s="58">
        <v>0</v>
      </c>
      <c r="G69" s="58">
        <v>0</v>
      </c>
      <c r="H69" s="58">
        <v>0</v>
      </c>
      <c r="I69" s="58">
        <v>8097000</v>
      </c>
      <c r="J69" s="58">
        <f t="shared" si="7"/>
        <v>-8097000</v>
      </c>
      <c r="K69" s="58">
        <f t="shared" si="8"/>
        <v>160</v>
      </c>
      <c r="L69" s="58">
        <v>0</v>
      </c>
      <c r="M69" s="59">
        <f t="shared" si="3"/>
        <v>0</v>
      </c>
      <c r="N69" s="36"/>
    </row>
    <row r="70" spans="1:14" x14ac:dyDescent="0.25">
      <c r="A70" s="17">
        <v>20449</v>
      </c>
      <c r="B70" s="57">
        <v>20</v>
      </c>
      <c r="C70" s="6" t="s">
        <v>47</v>
      </c>
      <c r="D70" s="58">
        <v>1004290</v>
      </c>
      <c r="E70" s="58">
        <v>0</v>
      </c>
      <c r="F70" s="58">
        <v>0</v>
      </c>
      <c r="G70" s="58">
        <v>0</v>
      </c>
      <c r="H70" s="58">
        <v>0</v>
      </c>
      <c r="I70" s="58">
        <v>1004000</v>
      </c>
      <c r="J70" s="58">
        <f t="shared" si="7"/>
        <v>-1004000</v>
      </c>
      <c r="K70" s="58">
        <f t="shared" si="8"/>
        <v>290</v>
      </c>
      <c r="L70" s="58">
        <v>0</v>
      </c>
      <c r="M70" s="59">
        <f t="shared" si="3"/>
        <v>0</v>
      </c>
      <c r="N70" s="36">
        <f>+K70-[1]Julio!D77</f>
        <v>-2637592</v>
      </c>
    </row>
    <row r="71" spans="1:14" ht="30" customHeight="1" x14ac:dyDescent="0.25">
      <c r="A71" s="17">
        <v>204413</v>
      </c>
      <c r="B71" s="57">
        <v>20</v>
      </c>
      <c r="C71" s="6" t="s">
        <v>48</v>
      </c>
      <c r="D71" s="58">
        <v>3585135</v>
      </c>
      <c r="E71" s="58">
        <v>0</v>
      </c>
      <c r="F71" s="58">
        <v>0</v>
      </c>
      <c r="G71" s="58">
        <v>0</v>
      </c>
      <c r="H71" s="58">
        <v>0</v>
      </c>
      <c r="I71" s="58">
        <v>3585000</v>
      </c>
      <c r="J71" s="58">
        <f t="shared" si="7"/>
        <v>-3585000</v>
      </c>
      <c r="K71" s="58">
        <f t="shared" si="8"/>
        <v>135</v>
      </c>
      <c r="L71" s="58">
        <v>0</v>
      </c>
      <c r="M71" s="59">
        <f t="shared" si="3"/>
        <v>0</v>
      </c>
      <c r="N71" s="36">
        <f>+K71-[1]Julio!D78</f>
        <v>-1622272</v>
      </c>
    </row>
    <row r="72" spans="1:14" ht="31.5" x14ac:dyDescent="0.25">
      <c r="A72" s="17">
        <v>204415</v>
      </c>
      <c r="B72" s="57">
        <v>20</v>
      </c>
      <c r="C72" s="6" t="s">
        <v>49</v>
      </c>
      <c r="D72" s="58">
        <v>145900200</v>
      </c>
      <c r="E72" s="58">
        <v>0</v>
      </c>
      <c r="F72" s="58">
        <v>0</v>
      </c>
      <c r="G72" s="58">
        <v>0</v>
      </c>
      <c r="H72" s="58">
        <v>80320000</v>
      </c>
      <c r="I72" s="58">
        <f>80000000+45000000</f>
        <v>125000000</v>
      </c>
      <c r="J72" s="58">
        <f t="shared" si="7"/>
        <v>-44680000</v>
      </c>
      <c r="K72" s="58">
        <f t="shared" si="8"/>
        <v>101220200</v>
      </c>
      <c r="L72" s="58">
        <v>94307988.5</v>
      </c>
      <c r="M72" s="59">
        <f t="shared" si="3"/>
        <v>0.93171114560137203</v>
      </c>
      <c r="N72" s="36">
        <f>+K72-[1]Julio!D79</f>
        <v>41074878</v>
      </c>
    </row>
    <row r="73" spans="1:14" x14ac:dyDescent="0.25">
      <c r="A73" s="17">
        <v>204417</v>
      </c>
      <c r="B73" s="57">
        <v>20</v>
      </c>
      <c r="C73" s="6" t="s">
        <v>50</v>
      </c>
      <c r="D73" s="58">
        <v>1755615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f t="shared" si="7"/>
        <v>0</v>
      </c>
      <c r="K73" s="58">
        <f t="shared" si="8"/>
        <v>1755615</v>
      </c>
      <c r="L73" s="58">
        <v>1706994</v>
      </c>
      <c r="M73" s="59">
        <f t="shared" si="3"/>
        <v>0.97230543143001169</v>
      </c>
      <c r="N73" s="36">
        <f>+K73-[1]Julio!D80</f>
        <v>175466</v>
      </c>
    </row>
    <row r="74" spans="1:14" ht="31.5" x14ac:dyDescent="0.25">
      <c r="A74" s="17">
        <v>204418</v>
      </c>
      <c r="B74" s="57">
        <v>20</v>
      </c>
      <c r="C74" s="6" t="s">
        <v>51</v>
      </c>
      <c r="D74" s="58">
        <v>14140040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f t="shared" si="7"/>
        <v>0</v>
      </c>
      <c r="K74" s="58">
        <f t="shared" si="8"/>
        <v>14140040</v>
      </c>
      <c r="L74" s="58">
        <v>7124954.5599999996</v>
      </c>
      <c r="M74" s="59">
        <f t="shared" si="3"/>
        <v>0.50388503568589615</v>
      </c>
      <c r="N74" s="36">
        <f>+K74-[1]Julio!D81</f>
        <v>6478982</v>
      </c>
    </row>
    <row r="75" spans="1:14" x14ac:dyDescent="0.25">
      <c r="A75" s="17">
        <v>204420</v>
      </c>
      <c r="B75" s="57">
        <v>20</v>
      </c>
      <c r="C75" s="6" t="s">
        <v>52</v>
      </c>
      <c r="D75" s="58">
        <v>23901346</v>
      </c>
      <c r="E75" s="58">
        <v>0</v>
      </c>
      <c r="F75" s="58">
        <v>0</v>
      </c>
      <c r="G75" s="58">
        <v>0</v>
      </c>
      <c r="H75" s="58">
        <v>14056000</v>
      </c>
      <c r="I75" s="58">
        <v>6900000</v>
      </c>
      <c r="J75" s="58">
        <f t="shared" si="7"/>
        <v>7156000</v>
      </c>
      <c r="K75" s="58">
        <f t="shared" si="8"/>
        <v>31057346</v>
      </c>
      <c r="L75" s="58">
        <v>26169885.960000001</v>
      </c>
      <c r="M75" s="59">
        <f t="shared" si="3"/>
        <v>0.84263111084894382</v>
      </c>
      <c r="N75" s="36">
        <f>+K75-[1]Julio!D82</f>
        <v>2326986</v>
      </c>
    </row>
    <row r="76" spans="1:14" x14ac:dyDescent="0.25">
      <c r="A76" s="17">
        <v>204421</v>
      </c>
      <c r="B76" s="57">
        <v>20</v>
      </c>
      <c r="C76" s="6" t="s">
        <v>53</v>
      </c>
      <c r="D76" s="58">
        <v>2312318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f t="shared" si="7"/>
        <v>0</v>
      </c>
      <c r="K76" s="58">
        <f t="shared" si="8"/>
        <v>2312318</v>
      </c>
      <c r="L76" s="58">
        <v>2309212</v>
      </c>
      <c r="M76" s="59">
        <f t="shared" si="3"/>
        <v>0.99865675914817942</v>
      </c>
      <c r="N76" s="36">
        <f>+K76-[1]Julio!D83</f>
        <v>-4219563</v>
      </c>
    </row>
    <row r="77" spans="1:14" x14ac:dyDescent="0.25">
      <c r="A77" s="17">
        <v>204423</v>
      </c>
      <c r="B77" s="57">
        <v>20</v>
      </c>
      <c r="C77" s="6" t="s">
        <v>54</v>
      </c>
      <c r="D77" s="58">
        <v>5578043</v>
      </c>
      <c r="E77" s="58">
        <v>0</v>
      </c>
      <c r="F77" s="58">
        <v>0</v>
      </c>
      <c r="G77" s="58">
        <v>0</v>
      </c>
      <c r="H77" s="58">
        <v>9000000</v>
      </c>
      <c r="I77" s="58">
        <v>2500000</v>
      </c>
      <c r="J77" s="58">
        <f t="shared" si="7"/>
        <v>6500000</v>
      </c>
      <c r="K77" s="58">
        <f t="shared" si="8"/>
        <v>12078043</v>
      </c>
      <c r="L77" s="58">
        <v>3048120</v>
      </c>
      <c r="M77" s="59">
        <f t="shared" si="3"/>
        <v>0.25236869913445414</v>
      </c>
      <c r="N77" s="36">
        <f>+K77-[1]Julio!D84</f>
        <v>7051214</v>
      </c>
    </row>
    <row r="78" spans="1:14" x14ac:dyDescent="0.25">
      <c r="A78" s="17">
        <v>2045</v>
      </c>
      <c r="B78" s="57"/>
      <c r="C78" s="6" t="s">
        <v>55</v>
      </c>
      <c r="D78" s="58">
        <f>SUM(D79:D86)</f>
        <v>432644193</v>
      </c>
      <c r="E78" s="58">
        <f t="shared" ref="E78:I78" si="34">SUM(E79:E86)</f>
        <v>0</v>
      </c>
      <c r="F78" s="58">
        <f t="shared" si="34"/>
        <v>0</v>
      </c>
      <c r="G78" s="58">
        <f t="shared" si="34"/>
        <v>0</v>
      </c>
      <c r="H78" s="58">
        <f t="shared" si="34"/>
        <v>5422843000</v>
      </c>
      <c r="I78" s="58">
        <f t="shared" si="34"/>
        <v>779980000</v>
      </c>
      <c r="J78" s="58">
        <f t="shared" si="7"/>
        <v>4642863000</v>
      </c>
      <c r="K78" s="58">
        <f t="shared" si="8"/>
        <v>5075507193</v>
      </c>
      <c r="L78" s="58">
        <f>SUM(L79:L86)</f>
        <v>4543632277</v>
      </c>
      <c r="M78" s="59">
        <f t="shared" ref="M78:M154" si="35">+L78/K78</f>
        <v>0.89520753379415019</v>
      </c>
      <c r="N78" s="36">
        <f>+K78-[1]Julio!D85</f>
        <v>4233374681</v>
      </c>
    </row>
    <row r="79" spans="1:14" ht="34.5" customHeight="1" x14ac:dyDescent="0.25">
      <c r="A79" s="17">
        <v>20451</v>
      </c>
      <c r="B79" s="57">
        <v>20</v>
      </c>
      <c r="C79" s="6" t="s">
        <v>56</v>
      </c>
      <c r="D79" s="58">
        <v>15061437</v>
      </c>
      <c r="E79" s="58">
        <v>0</v>
      </c>
      <c r="F79" s="58">
        <v>0</v>
      </c>
      <c r="G79" s="58">
        <v>0</v>
      </c>
      <c r="H79" s="58">
        <f>1356083000+1706800000+1608520000+502000000</f>
        <v>5173403000</v>
      </c>
      <c r="I79" s="58">
        <f>283900000+166000000</f>
        <v>449900000</v>
      </c>
      <c r="J79" s="58">
        <f t="shared" si="7"/>
        <v>4723503000</v>
      </c>
      <c r="K79" s="58">
        <f t="shared" si="8"/>
        <v>4738564437</v>
      </c>
      <c r="L79" s="58">
        <v>4353308355</v>
      </c>
      <c r="M79" s="59">
        <f t="shared" si="35"/>
        <v>0.91869772224857471</v>
      </c>
      <c r="N79" s="36">
        <f>+K79-[1]Julio!D86</f>
        <v>4637729037</v>
      </c>
    </row>
    <row r="80" spans="1:14" ht="32.25" customHeight="1" x14ac:dyDescent="0.25">
      <c r="A80" s="17">
        <v>20452</v>
      </c>
      <c r="B80" s="57">
        <v>20</v>
      </c>
      <c r="C80" s="6" t="s">
        <v>57</v>
      </c>
      <c r="D80" s="58">
        <v>32631553</v>
      </c>
      <c r="E80" s="58">
        <v>0</v>
      </c>
      <c r="F80" s="58">
        <v>0</v>
      </c>
      <c r="G80" s="58">
        <v>0</v>
      </c>
      <c r="H80" s="58">
        <v>92368000</v>
      </c>
      <c r="I80" s="58">
        <v>27500000</v>
      </c>
      <c r="J80" s="58">
        <f t="shared" si="7"/>
        <v>64868000</v>
      </c>
      <c r="K80" s="58">
        <f t="shared" si="8"/>
        <v>97499553</v>
      </c>
      <c r="L80" s="58">
        <v>1295951.8</v>
      </c>
      <c r="M80" s="59">
        <f t="shared" si="35"/>
        <v>1.329187427146461E-2</v>
      </c>
      <c r="N80" s="36">
        <f>+K80-[1]Julio!D87</f>
        <v>59745181</v>
      </c>
    </row>
    <row r="81" spans="1:54" ht="45.75" customHeight="1" x14ac:dyDescent="0.25">
      <c r="A81" s="17">
        <v>20455</v>
      </c>
      <c r="B81" s="57">
        <v>20</v>
      </c>
      <c r="C81" s="6" t="s">
        <v>58</v>
      </c>
      <c r="D81" s="58">
        <v>55430156</v>
      </c>
      <c r="E81" s="58">
        <v>0</v>
      </c>
      <c r="F81" s="58">
        <v>0</v>
      </c>
      <c r="G81" s="58">
        <v>0</v>
      </c>
      <c r="H81" s="58">
        <v>30120000</v>
      </c>
      <c r="I81" s="58">
        <v>10000000</v>
      </c>
      <c r="J81" s="58">
        <f t="shared" si="7"/>
        <v>20120000</v>
      </c>
      <c r="K81" s="58">
        <f t="shared" si="8"/>
        <v>75550156</v>
      </c>
      <c r="L81" s="58">
        <v>44397070.200000003</v>
      </c>
      <c r="M81" s="59">
        <f t="shared" si="35"/>
        <v>0.58765027831312489</v>
      </c>
      <c r="N81" s="36">
        <f>+K81-[1]Julio!D88</f>
        <v>14486899</v>
      </c>
    </row>
    <row r="82" spans="1:54" ht="46.5" customHeight="1" x14ac:dyDescent="0.25">
      <c r="A82" s="17">
        <v>20456</v>
      </c>
      <c r="B82" s="57">
        <v>20</v>
      </c>
      <c r="C82" s="6" t="s">
        <v>59</v>
      </c>
      <c r="D82" s="58">
        <v>56425327</v>
      </c>
      <c r="E82" s="58">
        <v>0</v>
      </c>
      <c r="F82" s="58">
        <v>0</v>
      </c>
      <c r="G82" s="58">
        <v>0</v>
      </c>
      <c r="H82" s="58">
        <f>15060000+13500000</f>
        <v>28560000</v>
      </c>
      <c r="I82" s="58">
        <v>0</v>
      </c>
      <c r="J82" s="58">
        <f t="shared" ref="J82:J158" si="36">E82-F82-G82+H82-I82</f>
        <v>28560000</v>
      </c>
      <c r="K82" s="58">
        <f t="shared" ref="K82:L164" si="37">D82+J82</f>
        <v>84985327</v>
      </c>
      <c r="L82" s="58">
        <v>80870707</v>
      </c>
      <c r="M82" s="59">
        <f t="shared" si="35"/>
        <v>0.95158434820166071</v>
      </c>
      <c r="N82" s="36">
        <f>+K82-[1]Julio!D89</f>
        <v>-18643261</v>
      </c>
    </row>
    <row r="83" spans="1:54" x14ac:dyDescent="0.25">
      <c r="A83" s="17">
        <v>20458</v>
      </c>
      <c r="B83" s="57">
        <v>20</v>
      </c>
      <c r="C83" s="6" t="s">
        <v>157</v>
      </c>
      <c r="D83" s="58">
        <v>140563810</v>
      </c>
      <c r="E83" s="58">
        <v>0</v>
      </c>
      <c r="F83" s="58">
        <v>0</v>
      </c>
      <c r="G83" s="58">
        <v>0</v>
      </c>
      <c r="H83" s="58">
        <v>35140000</v>
      </c>
      <c r="I83" s="58">
        <f>140000000+20000000</f>
        <v>160000000</v>
      </c>
      <c r="J83" s="58">
        <f t="shared" si="36"/>
        <v>-124860000</v>
      </c>
      <c r="K83" s="58">
        <f t="shared" si="37"/>
        <v>15703810</v>
      </c>
      <c r="L83" s="58">
        <v>15062565</v>
      </c>
      <c r="M83" s="59">
        <f t="shared" si="35"/>
        <v>0.95916627875655658</v>
      </c>
      <c r="N83" s="36"/>
    </row>
    <row r="84" spans="1:54" ht="31.5" x14ac:dyDescent="0.25">
      <c r="A84" s="17">
        <v>204510</v>
      </c>
      <c r="B84" s="57">
        <v>20</v>
      </c>
      <c r="C84" s="6" t="s">
        <v>158</v>
      </c>
      <c r="D84" s="58">
        <v>100400461</v>
      </c>
      <c r="E84" s="58">
        <v>0</v>
      </c>
      <c r="F84" s="58">
        <v>0</v>
      </c>
      <c r="G84" s="58">
        <v>0</v>
      </c>
      <c r="H84" s="58">
        <v>50200000</v>
      </c>
      <c r="I84" s="58">
        <f>100000000+20080000+10000000</f>
        <v>130080000</v>
      </c>
      <c r="J84" s="58">
        <f t="shared" si="36"/>
        <v>-79880000</v>
      </c>
      <c r="K84" s="58">
        <f t="shared" si="37"/>
        <v>20520461</v>
      </c>
      <c r="L84" s="58">
        <v>20081755</v>
      </c>
      <c r="M84" s="59">
        <f t="shared" si="35"/>
        <v>0.97862104559931673</v>
      </c>
      <c r="N84" s="36"/>
    </row>
    <row r="85" spans="1:54" x14ac:dyDescent="0.25">
      <c r="A85" s="17">
        <v>204512</v>
      </c>
      <c r="B85" s="57">
        <v>20</v>
      </c>
      <c r="C85" s="6" t="s">
        <v>60</v>
      </c>
      <c r="D85" s="58">
        <v>1004768</v>
      </c>
      <c r="E85" s="58">
        <v>0</v>
      </c>
      <c r="F85" s="58">
        <v>0</v>
      </c>
      <c r="G85" s="58">
        <v>0</v>
      </c>
      <c r="H85" s="58">
        <v>3012000</v>
      </c>
      <c r="I85" s="58">
        <v>0</v>
      </c>
      <c r="J85" s="58">
        <f t="shared" si="36"/>
        <v>3012000</v>
      </c>
      <c r="K85" s="58">
        <f t="shared" si="37"/>
        <v>4016768</v>
      </c>
      <c r="L85" s="58">
        <v>16003</v>
      </c>
      <c r="M85" s="59">
        <f t="shared" si="35"/>
        <v>3.9840488671489122E-3</v>
      </c>
      <c r="N85" s="36"/>
    </row>
    <row r="86" spans="1:54" x14ac:dyDescent="0.25">
      <c r="A86" s="17">
        <v>204513</v>
      </c>
      <c r="B86" s="57">
        <v>20</v>
      </c>
      <c r="C86" s="6" t="s">
        <v>61</v>
      </c>
      <c r="D86" s="58">
        <v>31126681</v>
      </c>
      <c r="E86" s="58">
        <v>0</v>
      </c>
      <c r="F86" s="58">
        <v>0</v>
      </c>
      <c r="G86" s="58">
        <v>0</v>
      </c>
      <c r="H86" s="58">
        <v>10040000</v>
      </c>
      <c r="I86" s="58">
        <v>2500000</v>
      </c>
      <c r="J86" s="58">
        <f t="shared" si="36"/>
        <v>7540000</v>
      </c>
      <c r="K86" s="58">
        <f t="shared" si="37"/>
        <v>38666681</v>
      </c>
      <c r="L86" s="58">
        <v>28599870</v>
      </c>
      <c r="M86" s="59">
        <f t="shared" si="35"/>
        <v>0.73965153616365464</v>
      </c>
      <c r="N86" s="36"/>
    </row>
    <row r="87" spans="1:54" x14ac:dyDescent="0.25">
      <c r="A87" s="17">
        <v>2046</v>
      </c>
      <c r="B87" s="57"/>
      <c r="C87" s="6" t="s">
        <v>62</v>
      </c>
      <c r="D87" s="58">
        <f>SUM(D88:D91)</f>
        <v>149597305</v>
      </c>
      <c r="E87" s="58">
        <f t="shared" ref="E87:I87" si="38">SUM(E88:E91)</f>
        <v>0</v>
      </c>
      <c r="F87" s="58">
        <f t="shared" si="38"/>
        <v>0</v>
      </c>
      <c r="G87" s="58">
        <f t="shared" si="38"/>
        <v>0</v>
      </c>
      <c r="H87" s="58">
        <f t="shared" si="38"/>
        <v>85280000</v>
      </c>
      <c r="I87" s="58">
        <f t="shared" si="38"/>
        <v>63000000</v>
      </c>
      <c r="J87" s="58">
        <f t="shared" si="36"/>
        <v>22280000</v>
      </c>
      <c r="K87" s="58">
        <f t="shared" si="37"/>
        <v>171877305</v>
      </c>
      <c r="L87" s="58">
        <f t="shared" ref="L87" si="39">SUM(L88:L91)</f>
        <v>148521943</v>
      </c>
      <c r="M87" s="59">
        <f t="shared" si="35"/>
        <v>0.86411607978144644</v>
      </c>
      <c r="N87" s="36">
        <f>+K87-[1]Julio!D103</f>
        <v>-88573961</v>
      </c>
    </row>
    <row r="88" spans="1:54" x14ac:dyDescent="0.25">
      <c r="A88" s="17">
        <v>20462</v>
      </c>
      <c r="B88" s="57">
        <v>20</v>
      </c>
      <c r="C88" s="6" t="s">
        <v>63</v>
      </c>
      <c r="D88" s="58">
        <v>103412518</v>
      </c>
      <c r="E88" s="58">
        <v>0</v>
      </c>
      <c r="F88" s="58">
        <v>0</v>
      </c>
      <c r="G88" s="58">
        <v>0</v>
      </c>
      <c r="H88" s="58">
        <v>7028000</v>
      </c>
      <c r="I88" s="58">
        <v>0</v>
      </c>
      <c r="J88" s="58">
        <f t="shared" si="36"/>
        <v>7028000</v>
      </c>
      <c r="K88" s="58">
        <f t="shared" si="37"/>
        <v>110440518</v>
      </c>
      <c r="L88" s="58">
        <v>110162056</v>
      </c>
      <c r="M88" s="59">
        <f t="shared" si="35"/>
        <v>0.9974786246475229</v>
      </c>
      <c r="N88" s="36">
        <f>+K88-[1]Julio!D104</f>
        <v>-58530127</v>
      </c>
    </row>
    <row r="89" spans="1:54" ht="31.5" x14ac:dyDescent="0.25">
      <c r="A89" s="17">
        <v>20465</v>
      </c>
      <c r="B89" s="57">
        <v>20</v>
      </c>
      <c r="C89" s="6" t="s">
        <v>64</v>
      </c>
      <c r="D89" s="58">
        <v>45180782</v>
      </c>
      <c r="E89" s="58">
        <v>0</v>
      </c>
      <c r="F89" s="58">
        <v>0</v>
      </c>
      <c r="G89" s="58">
        <v>0</v>
      </c>
      <c r="H89" s="58">
        <v>63252000</v>
      </c>
      <c r="I89" s="58">
        <f>9000000+54000000</f>
        <v>63000000</v>
      </c>
      <c r="J89" s="58">
        <f t="shared" si="36"/>
        <v>252000</v>
      </c>
      <c r="K89" s="74">
        <f t="shared" si="37"/>
        <v>45432782</v>
      </c>
      <c r="L89" s="58">
        <v>37954434</v>
      </c>
      <c r="M89" s="59">
        <f t="shared" si="35"/>
        <v>0.83539753299720898</v>
      </c>
      <c r="N89" s="36">
        <f>+K89-[1]Julio!D105</f>
        <v>-45039335</v>
      </c>
      <c r="BB89" s="37"/>
    </row>
    <row r="90" spans="1:54" x14ac:dyDescent="0.25">
      <c r="A90" s="17">
        <v>20467</v>
      </c>
      <c r="B90" s="57">
        <v>20</v>
      </c>
      <c r="C90" s="6" t="s">
        <v>65</v>
      </c>
      <c r="D90" s="58">
        <v>1004005</v>
      </c>
      <c r="E90" s="58">
        <v>0</v>
      </c>
      <c r="F90" s="58">
        <v>0</v>
      </c>
      <c r="G90" s="58">
        <v>0</v>
      </c>
      <c r="H90" s="58">
        <v>15000000</v>
      </c>
      <c r="I90" s="58">
        <v>0</v>
      </c>
      <c r="J90" s="58">
        <f t="shared" si="36"/>
        <v>15000000</v>
      </c>
      <c r="K90" s="58">
        <f t="shared" si="37"/>
        <v>16004005</v>
      </c>
      <c r="L90" s="58">
        <v>405453</v>
      </c>
      <c r="M90" s="59">
        <f t="shared" si="35"/>
        <v>2.5334470965236514E-2</v>
      </c>
      <c r="N90" s="36">
        <f>+K90-[1]Julio!D106</f>
        <v>14995501</v>
      </c>
    </row>
    <row r="91" spans="1:54" ht="30.75" customHeight="1" x14ac:dyDescent="0.25">
      <c r="A91" s="17">
        <v>20468</v>
      </c>
      <c r="B91" s="57">
        <v>20</v>
      </c>
      <c r="C91" s="6" t="s">
        <v>66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f t="shared" si="36"/>
        <v>0</v>
      </c>
      <c r="K91" s="58">
        <f t="shared" si="37"/>
        <v>0</v>
      </c>
      <c r="L91" s="58">
        <v>0</v>
      </c>
      <c r="M91" s="59" t="s">
        <v>174</v>
      </c>
      <c r="N91" s="36"/>
    </row>
    <row r="92" spans="1:54" x14ac:dyDescent="0.25">
      <c r="A92" s="17">
        <v>2047</v>
      </c>
      <c r="B92" s="57"/>
      <c r="C92" s="6" t="s">
        <v>67</v>
      </c>
      <c r="D92" s="58">
        <f>SUM(D93:D95)</f>
        <v>74625962</v>
      </c>
      <c r="E92" s="58">
        <f t="shared" ref="E92:I92" si="40">SUM(E93:E95)</f>
        <v>0</v>
      </c>
      <c r="F92" s="58">
        <f t="shared" si="40"/>
        <v>0</v>
      </c>
      <c r="G92" s="58">
        <f t="shared" si="40"/>
        <v>0</v>
      </c>
      <c r="H92" s="58">
        <f t="shared" si="40"/>
        <v>42040000</v>
      </c>
      <c r="I92" s="58">
        <f t="shared" si="40"/>
        <v>26000000</v>
      </c>
      <c r="J92" s="58">
        <f t="shared" si="36"/>
        <v>16040000</v>
      </c>
      <c r="K92" s="58">
        <f t="shared" si="37"/>
        <v>90665962</v>
      </c>
      <c r="L92" s="58">
        <f t="shared" ref="L92" si="41">SUM(L93:L95)</f>
        <v>57226201.920000002</v>
      </c>
      <c r="M92" s="59">
        <f t="shared" si="35"/>
        <v>0.63117625024482726</v>
      </c>
      <c r="N92" s="36">
        <f>+K92-[1]Julio!D107</f>
        <v>-105172308</v>
      </c>
    </row>
    <row r="93" spans="1:54" ht="31.5" x14ac:dyDescent="0.25">
      <c r="A93" s="17">
        <v>20473</v>
      </c>
      <c r="B93" s="57">
        <v>20</v>
      </c>
      <c r="C93" s="60" t="s">
        <v>147</v>
      </c>
      <c r="D93" s="58">
        <v>10040478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f t="shared" si="36"/>
        <v>0</v>
      </c>
      <c r="K93" s="58">
        <f t="shared" si="37"/>
        <v>10040478</v>
      </c>
      <c r="L93" s="58">
        <v>10040002</v>
      </c>
      <c r="M93" s="59">
        <f t="shared" si="35"/>
        <v>0.99995259189851315</v>
      </c>
      <c r="N93" s="36"/>
    </row>
    <row r="94" spans="1:54" x14ac:dyDescent="0.25">
      <c r="A94" s="17">
        <v>20475</v>
      </c>
      <c r="B94" s="57">
        <v>20</v>
      </c>
      <c r="C94" s="6" t="s">
        <v>68</v>
      </c>
      <c r="D94" s="58">
        <v>32129046</v>
      </c>
      <c r="E94" s="58">
        <v>0</v>
      </c>
      <c r="F94" s="58">
        <v>0</v>
      </c>
      <c r="G94" s="58">
        <v>0</v>
      </c>
      <c r="H94" s="58">
        <v>0</v>
      </c>
      <c r="I94" s="58">
        <f>5000000+2800000</f>
        <v>7800000</v>
      </c>
      <c r="J94" s="58">
        <f t="shared" si="36"/>
        <v>-7800000</v>
      </c>
      <c r="K94" s="58">
        <f t="shared" si="37"/>
        <v>24329046</v>
      </c>
      <c r="L94" s="58">
        <v>23669928</v>
      </c>
      <c r="M94" s="59">
        <f t="shared" si="35"/>
        <v>0.97290818554907577</v>
      </c>
      <c r="N94" s="36">
        <f>+K94-[1]Julio!D108</f>
        <v>-8326073</v>
      </c>
    </row>
    <row r="95" spans="1:54" ht="36" customHeight="1" x14ac:dyDescent="0.25">
      <c r="A95" s="17">
        <v>20476</v>
      </c>
      <c r="B95" s="57">
        <v>20</v>
      </c>
      <c r="C95" s="6" t="s">
        <v>69</v>
      </c>
      <c r="D95" s="58">
        <v>32456438</v>
      </c>
      <c r="E95" s="58">
        <v>0</v>
      </c>
      <c r="F95" s="58">
        <v>0</v>
      </c>
      <c r="G95" s="58">
        <v>0</v>
      </c>
      <c r="H95" s="58">
        <f>5000000+10040000+27000000</f>
        <v>42040000</v>
      </c>
      <c r="I95" s="58">
        <f>6200000+12000000</f>
        <v>18200000</v>
      </c>
      <c r="J95" s="58">
        <f t="shared" si="36"/>
        <v>23840000</v>
      </c>
      <c r="K95" s="58">
        <f t="shared" si="37"/>
        <v>56296438</v>
      </c>
      <c r="L95" s="58">
        <v>23516271.920000002</v>
      </c>
      <c r="M95" s="59">
        <f t="shared" si="35"/>
        <v>0.41772219975977881</v>
      </c>
      <c r="N95" s="36">
        <f>+K95-[1]Julio!D109</f>
        <v>-106886713</v>
      </c>
    </row>
    <row r="96" spans="1:54" x14ac:dyDescent="0.25">
      <c r="A96" s="17">
        <v>2048</v>
      </c>
      <c r="B96" s="57"/>
      <c r="C96" s="6" t="s">
        <v>70</v>
      </c>
      <c r="D96" s="58">
        <f>SUM(D97:D100)</f>
        <v>477340874</v>
      </c>
      <c r="E96" s="58">
        <f t="shared" ref="E96:I96" si="42">SUM(E97:E100)</f>
        <v>0</v>
      </c>
      <c r="F96" s="58">
        <f t="shared" si="42"/>
        <v>0</v>
      </c>
      <c r="G96" s="58">
        <f t="shared" si="42"/>
        <v>0</v>
      </c>
      <c r="H96" s="58">
        <f t="shared" si="42"/>
        <v>102348000</v>
      </c>
      <c r="I96" s="58">
        <f t="shared" si="42"/>
        <v>103000000</v>
      </c>
      <c r="J96" s="58">
        <f t="shared" si="36"/>
        <v>-652000</v>
      </c>
      <c r="K96" s="58">
        <f t="shared" si="37"/>
        <v>476688874</v>
      </c>
      <c r="L96" s="58">
        <f t="shared" ref="L96" si="43">SUM(L97:L100)</f>
        <v>430623265</v>
      </c>
      <c r="M96" s="59">
        <f t="shared" si="35"/>
        <v>0.903363364423731</v>
      </c>
      <c r="N96" s="36">
        <f>+K96-[1]Julio!D110</f>
        <v>215457524</v>
      </c>
    </row>
    <row r="97" spans="1:52" ht="31.5" x14ac:dyDescent="0.25">
      <c r="A97" s="17">
        <v>20481</v>
      </c>
      <c r="B97" s="57">
        <v>20</v>
      </c>
      <c r="C97" s="6" t="s">
        <v>71</v>
      </c>
      <c r="D97" s="58">
        <v>55220470</v>
      </c>
      <c r="E97" s="58">
        <v>0</v>
      </c>
      <c r="F97" s="58">
        <v>0</v>
      </c>
      <c r="G97" s="58">
        <v>0</v>
      </c>
      <c r="H97" s="58">
        <v>30120000</v>
      </c>
      <c r="I97" s="58">
        <f>27000000+10000000+30000000</f>
        <v>67000000</v>
      </c>
      <c r="J97" s="58">
        <f t="shared" si="36"/>
        <v>-36880000</v>
      </c>
      <c r="K97" s="58">
        <f t="shared" si="37"/>
        <v>18340470</v>
      </c>
      <c r="L97" s="58">
        <v>2329710</v>
      </c>
      <c r="M97" s="59">
        <f t="shared" si="35"/>
        <v>0.12702564329049365</v>
      </c>
      <c r="N97" s="36">
        <f>+K97-[1]Julio!D111</f>
        <v>8298652</v>
      </c>
    </row>
    <row r="98" spans="1:52" x14ac:dyDescent="0.25">
      <c r="A98" s="17">
        <v>20482</v>
      </c>
      <c r="B98" s="57">
        <v>20</v>
      </c>
      <c r="C98" s="6" t="s">
        <v>72</v>
      </c>
      <c r="D98" s="58">
        <v>358866113</v>
      </c>
      <c r="E98" s="58">
        <v>0</v>
      </c>
      <c r="F98" s="58">
        <v>0</v>
      </c>
      <c r="G98" s="58">
        <v>0</v>
      </c>
      <c r="H98" s="58">
        <f>50200000+15000000</f>
        <v>65200000</v>
      </c>
      <c r="I98" s="58">
        <v>10000000</v>
      </c>
      <c r="J98" s="58">
        <f t="shared" si="36"/>
        <v>55200000</v>
      </c>
      <c r="K98" s="58">
        <f t="shared" si="37"/>
        <v>414066113</v>
      </c>
      <c r="L98" s="58">
        <v>393927821</v>
      </c>
      <c r="M98" s="59">
        <f t="shared" si="35"/>
        <v>0.95136454936122727</v>
      </c>
      <c r="N98" s="36">
        <f>+K98-[1]Julio!D112</f>
        <v>253425833</v>
      </c>
    </row>
    <row r="99" spans="1:52" x14ac:dyDescent="0.25">
      <c r="A99" s="17">
        <v>20485</v>
      </c>
      <c r="B99" s="57">
        <v>20</v>
      </c>
      <c r="C99" s="6" t="s">
        <v>73</v>
      </c>
      <c r="D99" s="58">
        <v>18072860</v>
      </c>
      <c r="E99" s="58">
        <v>0</v>
      </c>
      <c r="F99" s="58">
        <v>0</v>
      </c>
      <c r="G99" s="58">
        <v>0</v>
      </c>
      <c r="H99" s="58">
        <v>3012000</v>
      </c>
      <c r="I99" s="58">
        <v>0</v>
      </c>
      <c r="J99" s="58">
        <f t="shared" si="36"/>
        <v>3012000</v>
      </c>
      <c r="K99" s="58">
        <f t="shared" si="37"/>
        <v>21084860</v>
      </c>
      <c r="L99" s="58">
        <v>18678414</v>
      </c>
      <c r="M99" s="59">
        <f t="shared" si="35"/>
        <v>0.8858685331560181</v>
      </c>
      <c r="N99" s="36">
        <f>+K99-[1]Julio!D113</f>
        <v>-9098224</v>
      </c>
    </row>
    <row r="100" spans="1:52" x14ac:dyDescent="0.25">
      <c r="A100" s="17">
        <v>20486</v>
      </c>
      <c r="B100" s="57">
        <v>20</v>
      </c>
      <c r="C100" s="6" t="s">
        <v>74</v>
      </c>
      <c r="D100" s="58">
        <v>45181431</v>
      </c>
      <c r="E100" s="58">
        <v>0</v>
      </c>
      <c r="F100" s="58">
        <v>0</v>
      </c>
      <c r="G100" s="58">
        <v>0</v>
      </c>
      <c r="H100" s="58">
        <v>4016000</v>
      </c>
      <c r="I100" s="58">
        <v>26000000</v>
      </c>
      <c r="J100" s="58">
        <f t="shared" si="36"/>
        <v>-21984000</v>
      </c>
      <c r="K100" s="58">
        <f>D100+J100</f>
        <v>23197431</v>
      </c>
      <c r="L100" s="58">
        <v>15687320</v>
      </c>
      <c r="M100" s="59">
        <f t="shared" si="35"/>
        <v>0.67625246950836926</v>
      </c>
      <c r="N100" s="36">
        <f>+K100-[1]Julio!D114</f>
        <v>-37168737</v>
      </c>
    </row>
    <row r="101" spans="1:52" x14ac:dyDescent="0.25">
      <c r="A101" s="17">
        <v>2049</v>
      </c>
      <c r="B101" s="57"/>
      <c r="C101" s="6" t="s">
        <v>75</v>
      </c>
      <c r="D101" s="58">
        <f>SUM(D102:D104)</f>
        <v>241532873</v>
      </c>
      <c r="E101" s="58">
        <f t="shared" ref="E101:I101" si="44">SUM(E102:E104)</f>
        <v>0</v>
      </c>
      <c r="F101" s="58">
        <f t="shared" si="44"/>
        <v>0</v>
      </c>
      <c r="G101" s="58">
        <f t="shared" si="44"/>
        <v>0</v>
      </c>
      <c r="H101" s="58">
        <f t="shared" si="44"/>
        <v>40120000</v>
      </c>
      <c r="I101" s="58">
        <f t="shared" si="44"/>
        <v>57675377</v>
      </c>
      <c r="J101" s="58">
        <f t="shared" si="36"/>
        <v>-17555377</v>
      </c>
      <c r="K101" s="58">
        <f>D101+J101</f>
        <v>223977496</v>
      </c>
      <c r="L101" s="58">
        <f t="shared" ref="L101" si="45">SUM(L102:L104)</f>
        <v>208705757</v>
      </c>
      <c r="M101" s="59">
        <f t="shared" si="35"/>
        <v>0.93181574366739062</v>
      </c>
      <c r="N101" s="36">
        <f>+K101-[1]Julio!D115</f>
        <v>-379414049</v>
      </c>
    </row>
    <row r="102" spans="1:52" ht="36" customHeight="1" x14ac:dyDescent="0.25">
      <c r="A102" s="17">
        <v>20495</v>
      </c>
      <c r="B102" s="57">
        <v>20</v>
      </c>
      <c r="C102" s="6" t="s">
        <v>76</v>
      </c>
      <c r="D102" s="58">
        <v>85347662</v>
      </c>
      <c r="E102" s="58">
        <v>0</v>
      </c>
      <c r="F102" s="58">
        <v>0</v>
      </c>
      <c r="G102" s="58">
        <v>0</v>
      </c>
      <c r="H102" s="58">
        <v>0</v>
      </c>
      <c r="I102" s="58">
        <f>10000000+5000000</f>
        <v>15000000</v>
      </c>
      <c r="J102" s="58">
        <f t="shared" si="36"/>
        <v>-15000000</v>
      </c>
      <c r="K102" s="74">
        <f t="shared" si="37"/>
        <v>70347662</v>
      </c>
      <c r="L102" s="58">
        <v>70185365</v>
      </c>
      <c r="M102" s="59">
        <f t="shared" si="35"/>
        <v>0.99769292972380519</v>
      </c>
      <c r="N102" s="36">
        <f>+K102-[1]Julio!D116</f>
        <v>10107557</v>
      </c>
      <c r="AZ102" s="37"/>
    </row>
    <row r="103" spans="1:52" x14ac:dyDescent="0.25">
      <c r="A103" s="17">
        <v>204911</v>
      </c>
      <c r="B103" s="57">
        <v>20</v>
      </c>
      <c r="C103" s="6" t="s">
        <v>77</v>
      </c>
      <c r="D103" s="58">
        <v>50382326</v>
      </c>
      <c r="E103" s="58">
        <v>0</v>
      </c>
      <c r="F103" s="58">
        <v>0</v>
      </c>
      <c r="G103" s="58">
        <v>0</v>
      </c>
      <c r="H103" s="58">
        <f>10000000+30120000</f>
        <v>40120000</v>
      </c>
      <c r="I103" s="58">
        <f>5000000+17000000+675377</f>
        <v>22675377</v>
      </c>
      <c r="J103" s="58">
        <f t="shared" si="36"/>
        <v>17444623</v>
      </c>
      <c r="K103" s="74">
        <f t="shared" si="37"/>
        <v>67826949</v>
      </c>
      <c r="L103" s="58">
        <v>53204575</v>
      </c>
      <c r="M103" s="59">
        <f t="shared" si="35"/>
        <v>0.7844164566505859</v>
      </c>
      <c r="N103" s="36">
        <f>+K103-[1]Julio!D117</f>
        <v>-23418651</v>
      </c>
    </row>
    <row r="104" spans="1:52" x14ac:dyDescent="0.25">
      <c r="A104" s="17">
        <v>204913</v>
      </c>
      <c r="B104" s="57">
        <v>20</v>
      </c>
      <c r="C104" s="6" t="s">
        <v>78</v>
      </c>
      <c r="D104" s="58">
        <v>105802885</v>
      </c>
      <c r="E104" s="58">
        <v>0</v>
      </c>
      <c r="F104" s="58">
        <v>0</v>
      </c>
      <c r="G104" s="58">
        <v>0</v>
      </c>
      <c r="H104" s="58">
        <v>0</v>
      </c>
      <c r="I104" s="58">
        <v>20000000</v>
      </c>
      <c r="J104" s="58">
        <f t="shared" si="36"/>
        <v>-20000000</v>
      </c>
      <c r="K104" s="74">
        <f t="shared" si="37"/>
        <v>85802885</v>
      </c>
      <c r="L104" s="58">
        <v>85315817</v>
      </c>
      <c r="M104" s="59">
        <f t="shared" si="35"/>
        <v>0.99432340765698035</v>
      </c>
      <c r="N104" s="36">
        <f>+K104-[1]Julio!D118</f>
        <v>-366102955</v>
      </c>
    </row>
    <row r="105" spans="1:52" x14ac:dyDescent="0.25">
      <c r="A105" s="17">
        <v>20410</v>
      </c>
      <c r="B105" s="57"/>
      <c r="C105" s="6" t="s">
        <v>79</v>
      </c>
      <c r="D105" s="58">
        <f>+D106+D107</f>
        <v>1485732358</v>
      </c>
      <c r="E105" s="58">
        <f t="shared" ref="E105:I105" si="46">+E106+E107</f>
        <v>0</v>
      </c>
      <c r="F105" s="58">
        <f t="shared" si="46"/>
        <v>0</v>
      </c>
      <c r="G105" s="58">
        <f t="shared" si="46"/>
        <v>0</v>
      </c>
      <c r="H105" s="58">
        <f t="shared" si="46"/>
        <v>190360000</v>
      </c>
      <c r="I105" s="58">
        <f t="shared" si="46"/>
        <v>114000000</v>
      </c>
      <c r="J105" s="58">
        <f t="shared" si="36"/>
        <v>76360000</v>
      </c>
      <c r="K105" s="58">
        <f t="shared" si="37"/>
        <v>1562092358</v>
      </c>
      <c r="L105" s="58">
        <f t="shared" ref="L105" si="47">+L106+L107</f>
        <v>1435496715</v>
      </c>
      <c r="M105" s="59">
        <f t="shared" si="35"/>
        <v>0.9189576452687569</v>
      </c>
      <c r="N105" s="36">
        <f>+K105-[1]Julio!D119</f>
        <v>-1208627489</v>
      </c>
    </row>
    <row r="106" spans="1:52" x14ac:dyDescent="0.25">
      <c r="A106" s="17">
        <v>204101</v>
      </c>
      <c r="B106" s="57">
        <v>20</v>
      </c>
      <c r="C106" s="6" t="s">
        <v>153</v>
      </c>
      <c r="D106" s="58">
        <v>140372358</v>
      </c>
      <c r="E106" s="58">
        <v>0</v>
      </c>
      <c r="F106" s="58">
        <v>0</v>
      </c>
      <c r="G106" s="58">
        <v>0</v>
      </c>
      <c r="H106" s="58">
        <f>20000000+30000000+45180000</f>
        <v>95180000</v>
      </c>
      <c r="I106" s="58">
        <f>50000000+19000000</f>
        <v>69000000</v>
      </c>
      <c r="J106" s="58">
        <f t="shared" si="36"/>
        <v>26180000</v>
      </c>
      <c r="K106" s="58">
        <f t="shared" si="37"/>
        <v>166552358</v>
      </c>
      <c r="L106" s="58">
        <v>156663555</v>
      </c>
      <c r="M106" s="59">
        <f t="shared" si="35"/>
        <v>0.94062646053921373</v>
      </c>
      <c r="N106" s="36">
        <f>+K106-[1]Julio!D120</f>
        <v>141447812</v>
      </c>
    </row>
    <row r="107" spans="1:52" ht="31.5" x14ac:dyDescent="0.25">
      <c r="A107" s="17">
        <v>204102</v>
      </c>
      <c r="B107" s="57">
        <v>21</v>
      </c>
      <c r="C107" s="6" t="s">
        <v>80</v>
      </c>
      <c r="D107" s="58">
        <v>1345360000</v>
      </c>
      <c r="E107" s="58">
        <v>0</v>
      </c>
      <c r="F107" s="58">
        <v>0</v>
      </c>
      <c r="G107" s="58">
        <v>0</v>
      </c>
      <c r="H107" s="58">
        <f>50000000+45180000</f>
        <v>95180000</v>
      </c>
      <c r="I107" s="58">
        <v>45000000</v>
      </c>
      <c r="J107" s="58">
        <f t="shared" si="36"/>
        <v>50180000</v>
      </c>
      <c r="K107" s="58">
        <f t="shared" si="37"/>
        <v>1395540000</v>
      </c>
      <c r="L107" s="58">
        <v>1278833160</v>
      </c>
      <c r="M107" s="59">
        <f t="shared" si="35"/>
        <v>0.91637155509695167</v>
      </c>
      <c r="N107" s="36">
        <f>+K107-[1]Julio!D121</f>
        <v>-1350075301</v>
      </c>
    </row>
    <row r="108" spans="1:52" x14ac:dyDescent="0.25">
      <c r="A108" s="17">
        <v>20411</v>
      </c>
      <c r="B108" s="57"/>
      <c r="C108" s="6" t="s">
        <v>81</v>
      </c>
      <c r="D108" s="58">
        <f>+D109+D110</f>
        <v>928613381</v>
      </c>
      <c r="E108" s="58">
        <f t="shared" ref="E108:I108" si="48">+E109+E110</f>
        <v>0</v>
      </c>
      <c r="F108" s="58">
        <f t="shared" si="48"/>
        <v>0</v>
      </c>
      <c r="G108" s="58">
        <f t="shared" si="48"/>
        <v>0</v>
      </c>
      <c r="H108" s="58">
        <f t="shared" si="48"/>
        <v>461400000</v>
      </c>
      <c r="I108" s="58">
        <f t="shared" si="48"/>
        <v>833000000</v>
      </c>
      <c r="J108" s="58">
        <f t="shared" si="36"/>
        <v>-371600000</v>
      </c>
      <c r="K108" s="58">
        <f t="shared" si="37"/>
        <v>557013381</v>
      </c>
      <c r="L108" s="58">
        <f t="shared" ref="L108" si="49">+L109+L110</f>
        <v>497476902.60000002</v>
      </c>
      <c r="M108" s="59">
        <f t="shared" si="35"/>
        <v>0.89311481477677468</v>
      </c>
      <c r="N108" s="36">
        <f>+K108-[1]Julio!D122</f>
        <v>-1322965810</v>
      </c>
    </row>
    <row r="109" spans="1:52" ht="31.5" x14ac:dyDescent="0.25">
      <c r="A109" s="17">
        <v>204111</v>
      </c>
      <c r="B109" s="57">
        <v>20</v>
      </c>
      <c r="C109" s="6" t="s">
        <v>82</v>
      </c>
      <c r="D109" s="58">
        <v>150000000</v>
      </c>
      <c r="E109" s="58">
        <v>0</v>
      </c>
      <c r="F109" s="58">
        <v>0</v>
      </c>
      <c r="G109" s="58">
        <v>0</v>
      </c>
      <c r="H109" s="58">
        <v>0</v>
      </c>
      <c r="I109" s="58">
        <f>63000000+17000000</f>
        <v>80000000</v>
      </c>
      <c r="J109" s="58">
        <f t="shared" si="36"/>
        <v>-80000000</v>
      </c>
      <c r="K109" s="58">
        <f t="shared" si="37"/>
        <v>70000000</v>
      </c>
      <c r="L109" s="58">
        <v>48817184</v>
      </c>
      <c r="M109" s="59">
        <f t="shared" si="35"/>
        <v>0.69738834285714291</v>
      </c>
      <c r="N109" s="36">
        <f>+K109-[1]Julio!D123</f>
        <v>-81059492</v>
      </c>
    </row>
    <row r="110" spans="1:52" ht="31.5" x14ac:dyDescent="0.25">
      <c r="A110" s="17">
        <v>204112</v>
      </c>
      <c r="B110" s="57">
        <v>20</v>
      </c>
      <c r="C110" s="6" t="s">
        <v>83</v>
      </c>
      <c r="D110" s="58">
        <v>778613381</v>
      </c>
      <c r="E110" s="58">
        <v>0</v>
      </c>
      <c r="F110" s="58">
        <v>0</v>
      </c>
      <c r="G110" s="58">
        <v>0</v>
      </c>
      <c r="H110" s="58">
        <f>351400000+110000000</f>
        <v>461400000</v>
      </c>
      <c r="I110" s="58">
        <f>553000000+200000000</f>
        <v>753000000</v>
      </c>
      <c r="J110" s="58">
        <f t="shared" si="36"/>
        <v>-291600000</v>
      </c>
      <c r="K110" s="58">
        <f>D110+J110</f>
        <v>487013381</v>
      </c>
      <c r="L110" s="58">
        <v>448659718.60000002</v>
      </c>
      <c r="M110" s="59">
        <f t="shared" si="35"/>
        <v>0.92124721024862355</v>
      </c>
      <c r="N110" s="36">
        <f>+K110-[1]Julio!D124</f>
        <v>-1241906318</v>
      </c>
    </row>
    <row r="111" spans="1:52" x14ac:dyDescent="0.25">
      <c r="A111" s="17">
        <v>20414</v>
      </c>
      <c r="B111" s="57">
        <v>20</v>
      </c>
      <c r="C111" s="6" t="s">
        <v>84</v>
      </c>
      <c r="D111" s="58">
        <v>100764653</v>
      </c>
      <c r="E111" s="58">
        <v>0</v>
      </c>
      <c r="F111" s="58">
        <v>0</v>
      </c>
      <c r="G111" s="58">
        <v>0</v>
      </c>
      <c r="H111" s="58">
        <f>2000000+12792300+20080000+283900000+675377</f>
        <v>319447677</v>
      </c>
      <c r="I111" s="58">
        <v>96000000</v>
      </c>
      <c r="J111" s="58">
        <f t="shared" si="36"/>
        <v>223447677</v>
      </c>
      <c r="K111" s="74">
        <f>D111+J111</f>
        <v>324212330</v>
      </c>
      <c r="L111" s="58">
        <v>324212330</v>
      </c>
      <c r="M111" s="59">
        <f t="shared" si="35"/>
        <v>1</v>
      </c>
      <c r="N111" s="36">
        <f>+K111-[1]Julio!D125</f>
        <v>304132295</v>
      </c>
    </row>
    <row r="112" spans="1:52" ht="31.5" x14ac:dyDescent="0.25">
      <c r="A112" s="17">
        <v>20421</v>
      </c>
      <c r="B112" s="57"/>
      <c r="C112" s="6" t="s">
        <v>85</v>
      </c>
      <c r="D112" s="58">
        <f>+D113+D114+D115</f>
        <v>717860472</v>
      </c>
      <c r="E112" s="58">
        <f t="shared" ref="E112:I112" si="50">+E113+E114+E115</f>
        <v>0</v>
      </c>
      <c r="F112" s="58">
        <f t="shared" si="50"/>
        <v>0</v>
      </c>
      <c r="G112" s="58">
        <f t="shared" si="50"/>
        <v>0</v>
      </c>
      <c r="H112" s="58">
        <f t="shared" si="50"/>
        <v>376400000</v>
      </c>
      <c r="I112" s="58">
        <f t="shared" si="50"/>
        <v>450000000</v>
      </c>
      <c r="J112" s="58">
        <f t="shared" si="36"/>
        <v>-73600000</v>
      </c>
      <c r="K112" s="58">
        <f t="shared" si="37"/>
        <v>644260472</v>
      </c>
      <c r="L112" s="58">
        <f t="shared" ref="L112" si="51">+L113+L114+L115</f>
        <v>424705155</v>
      </c>
      <c r="M112" s="59">
        <f t="shared" si="35"/>
        <v>0.65921342912994974</v>
      </c>
      <c r="N112" s="36">
        <f>+K112-[1]Julio!D126</f>
        <v>-129006976</v>
      </c>
    </row>
    <row r="113" spans="1:14" x14ac:dyDescent="0.25">
      <c r="A113" s="17">
        <v>204213</v>
      </c>
      <c r="B113" s="57">
        <v>20</v>
      </c>
      <c r="C113" s="6" t="s">
        <v>139</v>
      </c>
      <c r="D113" s="58">
        <v>45180472</v>
      </c>
      <c r="E113" s="58">
        <v>0</v>
      </c>
      <c r="F113" s="58">
        <v>0</v>
      </c>
      <c r="G113" s="58">
        <v>0</v>
      </c>
      <c r="H113" s="58">
        <v>50200000</v>
      </c>
      <c r="I113" s="58">
        <v>45000000</v>
      </c>
      <c r="J113" s="58">
        <f t="shared" si="36"/>
        <v>5200000</v>
      </c>
      <c r="K113" s="58">
        <f t="shared" si="37"/>
        <v>50380472</v>
      </c>
      <c r="L113" s="58">
        <v>11200719</v>
      </c>
      <c r="M113" s="59">
        <f t="shared" si="35"/>
        <v>0.22232262929176208</v>
      </c>
      <c r="N113" s="36"/>
    </row>
    <row r="114" spans="1:14" x14ac:dyDescent="0.25">
      <c r="A114" s="17">
        <v>204214</v>
      </c>
      <c r="B114" s="57">
        <v>20</v>
      </c>
      <c r="C114" s="6" t="s">
        <v>86</v>
      </c>
      <c r="D114" s="58">
        <v>461840000</v>
      </c>
      <c r="E114" s="58">
        <v>0</v>
      </c>
      <c r="F114" s="58">
        <v>0</v>
      </c>
      <c r="G114" s="58">
        <v>0</v>
      </c>
      <c r="H114" s="58">
        <f>25000000+200800000</f>
        <v>225800000</v>
      </c>
      <c r="I114" s="58">
        <f>97000000+100000000</f>
        <v>197000000</v>
      </c>
      <c r="J114" s="58">
        <f t="shared" si="36"/>
        <v>28800000</v>
      </c>
      <c r="K114" s="74">
        <f t="shared" si="37"/>
        <v>490640000</v>
      </c>
      <c r="L114" s="58">
        <v>410851961</v>
      </c>
      <c r="M114" s="59">
        <f t="shared" si="35"/>
        <v>0.83737966941138109</v>
      </c>
      <c r="N114" s="36" t="e">
        <f>+K114-[1]Julio!D127</f>
        <v>#REF!</v>
      </c>
    </row>
    <row r="115" spans="1:14" x14ac:dyDescent="0.25">
      <c r="A115" s="17">
        <v>204215</v>
      </c>
      <c r="B115" s="57">
        <v>20</v>
      </c>
      <c r="C115" s="6" t="s">
        <v>140</v>
      </c>
      <c r="D115" s="58">
        <v>210840000</v>
      </c>
      <c r="E115" s="58">
        <v>0</v>
      </c>
      <c r="F115" s="58">
        <v>0</v>
      </c>
      <c r="G115" s="58">
        <v>0</v>
      </c>
      <c r="H115" s="58">
        <v>100400000</v>
      </c>
      <c r="I115" s="58">
        <f>183000000+25000000</f>
        <v>208000000</v>
      </c>
      <c r="J115" s="58">
        <f t="shared" si="36"/>
        <v>-107600000</v>
      </c>
      <c r="K115" s="74">
        <f t="shared" si="37"/>
        <v>103240000</v>
      </c>
      <c r="L115" s="58">
        <v>2652475</v>
      </c>
      <c r="M115" s="59">
        <f t="shared" si="35"/>
        <v>2.5692318868655559E-2</v>
      </c>
      <c r="N115" s="36">
        <f>+K115-[1]Julio!D128</f>
        <v>-499146080</v>
      </c>
    </row>
    <row r="116" spans="1:14" x14ac:dyDescent="0.25">
      <c r="A116" s="17">
        <v>20422</v>
      </c>
      <c r="B116" s="57"/>
      <c r="C116" s="6" t="s">
        <v>141</v>
      </c>
      <c r="D116" s="58">
        <f>+D117</f>
        <v>509821</v>
      </c>
      <c r="E116" s="58">
        <f t="shared" ref="E116:I116" si="52">+E117</f>
        <v>0</v>
      </c>
      <c r="F116" s="58">
        <f t="shared" si="52"/>
        <v>0</v>
      </c>
      <c r="G116" s="58">
        <f t="shared" si="52"/>
        <v>0</v>
      </c>
      <c r="H116" s="58">
        <f t="shared" si="52"/>
        <v>0</v>
      </c>
      <c r="I116" s="58">
        <f t="shared" si="52"/>
        <v>0</v>
      </c>
      <c r="J116" s="58">
        <f t="shared" si="36"/>
        <v>0</v>
      </c>
      <c r="K116" s="58">
        <f t="shared" si="37"/>
        <v>509821</v>
      </c>
      <c r="L116" s="58">
        <f t="shared" ref="L116" si="53">+L117</f>
        <v>12703</v>
      </c>
      <c r="M116" s="59">
        <f t="shared" si="35"/>
        <v>2.491658837121264E-2</v>
      </c>
      <c r="N116" s="36"/>
    </row>
    <row r="117" spans="1:14" x14ac:dyDescent="0.25">
      <c r="A117" s="17">
        <v>204221</v>
      </c>
      <c r="B117" s="57">
        <v>20</v>
      </c>
      <c r="C117" s="6" t="s">
        <v>142</v>
      </c>
      <c r="D117" s="58">
        <v>509821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f t="shared" si="36"/>
        <v>0</v>
      </c>
      <c r="K117" s="58">
        <f t="shared" si="37"/>
        <v>509821</v>
      </c>
      <c r="L117" s="58">
        <v>12703</v>
      </c>
      <c r="M117" s="59">
        <f t="shared" si="35"/>
        <v>2.491658837121264E-2</v>
      </c>
      <c r="N117" s="36"/>
    </row>
    <row r="118" spans="1:14" ht="31.5" x14ac:dyDescent="0.25">
      <c r="A118" s="17">
        <v>20441</v>
      </c>
      <c r="B118" s="57"/>
      <c r="C118" s="6" t="s">
        <v>87</v>
      </c>
      <c r="D118" s="58">
        <f>+D119</f>
        <v>124764706</v>
      </c>
      <c r="E118" s="58">
        <f t="shared" ref="E118:I118" si="54">+E119</f>
        <v>0</v>
      </c>
      <c r="F118" s="58">
        <f t="shared" si="54"/>
        <v>0</v>
      </c>
      <c r="G118" s="58">
        <f t="shared" si="54"/>
        <v>0</v>
      </c>
      <c r="H118" s="58">
        <f t="shared" si="54"/>
        <v>501400000</v>
      </c>
      <c r="I118" s="58">
        <f t="shared" si="54"/>
        <v>106000000</v>
      </c>
      <c r="J118" s="58">
        <f t="shared" si="36"/>
        <v>395400000</v>
      </c>
      <c r="K118" s="58">
        <f t="shared" si="37"/>
        <v>520164706</v>
      </c>
      <c r="L118" s="58">
        <f t="shared" ref="L118" si="55">+L119</f>
        <v>491574700.31</v>
      </c>
      <c r="M118" s="59">
        <f t="shared" si="35"/>
        <v>0.94503662905187569</v>
      </c>
      <c r="N118" s="36">
        <f>+K118-[1]Julio!D132</f>
        <v>-620536231</v>
      </c>
    </row>
    <row r="119" spans="1:14" ht="31.5" x14ac:dyDescent="0.25">
      <c r="A119" s="17">
        <v>2044113</v>
      </c>
      <c r="B119" s="57">
        <v>20</v>
      </c>
      <c r="C119" s="6" t="s">
        <v>87</v>
      </c>
      <c r="D119" s="58">
        <v>124764706</v>
      </c>
      <c r="E119" s="58">
        <v>0</v>
      </c>
      <c r="F119" s="58">
        <v>0</v>
      </c>
      <c r="G119" s="58">
        <v>0</v>
      </c>
      <c r="H119" s="58">
        <f>150000000+351400000</f>
        <v>501400000</v>
      </c>
      <c r="I119" s="58">
        <v>106000000</v>
      </c>
      <c r="J119" s="58">
        <f t="shared" si="36"/>
        <v>395400000</v>
      </c>
      <c r="K119" s="58">
        <f t="shared" si="37"/>
        <v>520164706</v>
      </c>
      <c r="L119" s="58">
        <v>491574700.31</v>
      </c>
      <c r="M119" s="59">
        <f t="shared" si="35"/>
        <v>0.94503662905187569</v>
      </c>
      <c r="N119" s="36">
        <f>+K119-[1]Julio!D133</f>
        <v>-620536231</v>
      </c>
    </row>
    <row r="120" spans="1:14" x14ac:dyDescent="0.25">
      <c r="A120" s="17">
        <v>3</v>
      </c>
      <c r="B120" s="57"/>
      <c r="C120" s="6" t="s">
        <v>88</v>
      </c>
      <c r="D120" s="58">
        <f>+D121+D126</f>
        <v>24361635142</v>
      </c>
      <c r="E120" s="58">
        <f t="shared" ref="E120:H120" si="56">+E121+E126</f>
        <v>56336772788</v>
      </c>
      <c r="F120" s="58">
        <f t="shared" si="56"/>
        <v>0</v>
      </c>
      <c r="G120" s="58">
        <f t="shared" si="56"/>
        <v>0</v>
      </c>
      <c r="H120" s="58">
        <f t="shared" si="56"/>
        <v>22673226668</v>
      </c>
      <c r="I120" s="58">
        <f>+I121+I126</f>
        <v>1601743695</v>
      </c>
      <c r="J120" s="58">
        <f t="shared" si="36"/>
        <v>77408255761</v>
      </c>
      <c r="K120" s="58">
        <f>D120+J120</f>
        <v>101769890903</v>
      </c>
      <c r="L120" s="58">
        <f>+L121+L126</f>
        <v>100589633996.72</v>
      </c>
      <c r="M120" s="59">
        <f t="shared" si="35"/>
        <v>0.98840269066019792</v>
      </c>
      <c r="N120" s="36">
        <f>+K120-[1]Julio!D134</f>
        <v>85787090903</v>
      </c>
    </row>
    <row r="121" spans="1:14" x14ac:dyDescent="0.25">
      <c r="A121" s="17">
        <v>32</v>
      </c>
      <c r="B121" s="57"/>
      <c r="C121" s="6" t="s">
        <v>89</v>
      </c>
      <c r="D121" s="58">
        <f>+D122</f>
        <v>5163235142</v>
      </c>
      <c r="E121" s="58">
        <f t="shared" ref="E121:I121" si="57">+E122</f>
        <v>0</v>
      </c>
      <c r="F121" s="58">
        <f t="shared" si="57"/>
        <v>0</v>
      </c>
      <c r="G121" s="58">
        <f t="shared" si="57"/>
        <v>0</v>
      </c>
      <c r="H121" s="58">
        <f t="shared" si="57"/>
        <v>0</v>
      </c>
      <c r="I121" s="58">
        <f t="shared" si="57"/>
        <v>0</v>
      </c>
      <c r="J121" s="58">
        <f t="shared" si="36"/>
        <v>0</v>
      </c>
      <c r="K121" s="58">
        <f t="shared" si="37"/>
        <v>5163235142</v>
      </c>
      <c r="L121" s="58">
        <f t="shared" ref="L121" si="58">+L122</f>
        <v>4428674933</v>
      </c>
      <c r="M121" s="59">
        <f t="shared" si="35"/>
        <v>0.85773256712157697</v>
      </c>
      <c r="N121" s="36">
        <f>+K121-[1]Julio!D135</f>
        <v>-1928564858</v>
      </c>
    </row>
    <row r="122" spans="1:14" x14ac:dyDescent="0.25">
      <c r="A122" s="17">
        <v>321</v>
      </c>
      <c r="B122" s="57"/>
      <c r="C122" s="6" t="s">
        <v>90</v>
      </c>
      <c r="D122" s="58">
        <f>+D123+D125+D124</f>
        <v>5163235142</v>
      </c>
      <c r="E122" s="58">
        <f t="shared" ref="E122:I122" si="59">+E123+E125+E124</f>
        <v>0</v>
      </c>
      <c r="F122" s="58">
        <f t="shared" si="59"/>
        <v>0</v>
      </c>
      <c r="G122" s="58">
        <f t="shared" si="59"/>
        <v>0</v>
      </c>
      <c r="H122" s="58">
        <f t="shared" si="59"/>
        <v>0</v>
      </c>
      <c r="I122" s="58">
        <f t="shared" si="59"/>
        <v>0</v>
      </c>
      <c r="J122" s="58">
        <f t="shared" si="36"/>
        <v>0</v>
      </c>
      <c r="K122" s="58">
        <f t="shared" si="37"/>
        <v>5163235142</v>
      </c>
      <c r="L122" s="58">
        <f>+L123+L125+L124</f>
        <v>4428674933</v>
      </c>
      <c r="M122" s="59">
        <f t="shared" si="35"/>
        <v>0.85773256712157697</v>
      </c>
      <c r="N122" s="36">
        <f>+K122-[1]Julio!D136</f>
        <v>-1928564858</v>
      </c>
    </row>
    <row r="123" spans="1:14" x14ac:dyDescent="0.25">
      <c r="A123" s="17">
        <v>3211</v>
      </c>
      <c r="B123" s="57">
        <v>11</v>
      </c>
      <c r="C123" s="6" t="s">
        <v>91</v>
      </c>
      <c r="D123" s="58">
        <v>1377400000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f t="shared" si="36"/>
        <v>0</v>
      </c>
      <c r="K123" s="58">
        <f t="shared" si="37"/>
        <v>1377400000</v>
      </c>
      <c r="L123" s="58">
        <v>1377400000</v>
      </c>
      <c r="M123" s="59">
        <f t="shared" si="35"/>
        <v>1</v>
      </c>
      <c r="N123" s="36">
        <f>+K123-[1]Julio!D137</f>
        <v>-4298300000</v>
      </c>
    </row>
    <row r="124" spans="1:14" x14ac:dyDescent="0.25">
      <c r="A124" s="17">
        <v>3211</v>
      </c>
      <c r="B124" s="57">
        <v>20</v>
      </c>
      <c r="C124" s="6" t="s">
        <v>91</v>
      </c>
      <c r="D124" s="58">
        <v>184500000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f t="shared" si="36"/>
        <v>0</v>
      </c>
      <c r="K124" s="58">
        <f t="shared" si="37"/>
        <v>184500000</v>
      </c>
      <c r="L124" s="58">
        <v>184500000</v>
      </c>
      <c r="M124" s="59">
        <f t="shared" si="35"/>
        <v>1</v>
      </c>
      <c r="N124" s="36">
        <f>+K124-[1]Julio!D137</f>
        <v>-5491200000</v>
      </c>
    </row>
    <row r="125" spans="1:14" x14ac:dyDescent="0.25">
      <c r="A125" s="17">
        <v>3211</v>
      </c>
      <c r="B125" s="57">
        <v>21</v>
      </c>
      <c r="C125" s="6" t="s">
        <v>91</v>
      </c>
      <c r="D125" s="58">
        <v>3601335142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f t="shared" si="36"/>
        <v>0</v>
      </c>
      <c r="K125" s="58">
        <f t="shared" si="37"/>
        <v>3601335142</v>
      </c>
      <c r="L125" s="58">
        <v>2866774933</v>
      </c>
      <c r="M125" s="59">
        <f t="shared" si="35"/>
        <v>0.79603114399620634</v>
      </c>
      <c r="N125" s="36">
        <f>+K125-[1]Julio!D138</f>
        <v>2185235142</v>
      </c>
    </row>
    <row r="126" spans="1:14" x14ac:dyDescent="0.25">
      <c r="A126" s="17">
        <v>36</v>
      </c>
      <c r="B126" s="57"/>
      <c r="C126" s="6" t="s">
        <v>92</v>
      </c>
      <c r="D126" s="58">
        <f t="shared" ref="D126:I126" si="60">+D127+D133</f>
        <v>19198400000</v>
      </c>
      <c r="E126" s="58">
        <f t="shared" si="60"/>
        <v>56336772788</v>
      </c>
      <c r="F126" s="58">
        <f t="shared" si="60"/>
        <v>0</v>
      </c>
      <c r="G126" s="58">
        <f t="shared" si="60"/>
        <v>0</v>
      </c>
      <c r="H126" s="58">
        <f t="shared" si="60"/>
        <v>22673226668</v>
      </c>
      <c r="I126" s="58">
        <f t="shared" si="60"/>
        <v>1601743695</v>
      </c>
      <c r="J126" s="58">
        <f t="shared" si="36"/>
        <v>77408255761</v>
      </c>
      <c r="K126" s="58">
        <f t="shared" si="37"/>
        <v>96606655761</v>
      </c>
      <c r="L126" s="58">
        <f>+L127+L133</f>
        <v>96160959063.720001</v>
      </c>
      <c r="M126" s="59">
        <f t="shared" si="35"/>
        <v>0.99538648042653888</v>
      </c>
      <c r="N126" s="36">
        <f>+K126-[1]Julio!D139</f>
        <v>87715655761</v>
      </c>
    </row>
    <row r="127" spans="1:14" ht="33.75" customHeight="1" x14ac:dyDescent="0.25">
      <c r="A127" s="17">
        <v>361</v>
      </c>
      <c r="B127" s="57"/>
      <c r="C127" s="6" t="s">
        <v>93</v>
      </c>
      <c r="D127" s="58">
        <f>SUM(D128:D132)</f>
        <v>17215700000</v>
      </c>
      <c r="E127" s="58">
        <f t="shared" ref="E127:I127" si="61">SUM(E128:E132)</f>
        <v>56336772788</v>
      </c>
      <c r="F127" s="58">
        <f t="shared" si="61"/>
        <v>0</v>
      </c>
      <c r="G127" s="58">
        <f t="shared" si="61"/>
        <v>0</v>
      </c>
      <c r="H127" s="58">
        <f t="shared" si="61"/>
        <v>22673226668</v>
      </c>
      <c r="I127" s="58">
        <f t="shared" si="61"/>
        <v>0</v>
      </c>
      <c r="J127" s="58">
        <f t="shared" si="36"/>
        <v>79009999456</v>
      </c>
      <c r="K127" s="58">
        <f t="shared" si="37"/>
        <v>96225699456</v>
      </c>
      <c r="L127" s="58">
        <f>SUM(L128:L132)</f>
        <v>96160959063.720001</v>
      </c>
      <c r="M127" s="59">
        <f t="shared" si="35"/>
        <v>0.99932720268445951</v>
      </c>
      <c r="N127" s="36">
        <f>+K127-[1]Agosto!D149</f>
        <v>87334699456</v>
      </c>
    </row>
    <row r="128" spans="1:14" ht="33.75" customHeight="1" x14ac:dyDescent="0.25">
      <c r="A128" s="17">
        <v>3611</v>
      </c>
      <c r="B128" s="57">
        <v>13</v>
      </c>
      <c r="C128" s="6" t="s">
        <v>93</v>
      </c>
      <c r="D128" s="58">
        <v>0</v>
      </c>
      <c r="E128" s="58">
        <v>21436773332</v>
      </c>
      <c r="F128" s="58">
        <v>0</v>
      </c>
      <c r="G128" s="58">
        <v>0</v>
      </c>
      <c r="H128" s="58"/>
      <c r="I128" s="58"/>
      <c r="J128" s="58">
        <f t="shared" si="36"/>
        <v>21436773332</v>
      </c>
      <c r="K128" s="58">
        <f t="shared" si="37"/>
        <v>21436773332</v>
      </c>
      <c r="L128" s="58">
        <v>21436773332</v>
      </c>
      <c r="M128" s="59">
        <f t="shared" si="35"/>
        <v>1</v>
      </c>
      <c r="N128" s="36"/>
    </row>
    <row r="129" spans="1:16" ht="33.75" customHeight="1" x14ac:dyDescent="0.25">
      <c r="A129" s="17">
        <v>3611</v>
      </c>
      <c r="B129" s="57">
        <v>10</v>
      </c>
      <c r="C129" s="6" t="s">
        <v>93</v>
      </c>
      <c r="D129" s="58">
        <v>0</v>
      </c>
      <c r="E129" s="58">
        <v>29931268840</v>
      </c>
      <c r="F129" s="58">
        <v>0</v>
      </c>
      <c r="G129" s="58">
        <v>0</v>
      </c>
      <c r="H129" s="58">
        <v>0</v>
      </c>
      <c r="I129" s="58">
        <v>0</v>
      </c>
      <c r="J129" s="58">
        <f t="shared" si="36"/>
        <v>29931268840</v>
      </c>
      <c r="K129" s="58">
        <f t="shared" si="37"/>
        <v>29931268840</v>
      </c>
      <c r="L129" s="58">
        <v>29877624173</v>
      </c>
      <c r="M129" s="59">
        <f t="shared" si="35"/>
        <v>0.99820773829246057</v>
      </c>
      <c r="N129" s="36"/>
    </row>
    <row r="130" spans="1:16" ht="33.75" customHeight="1" x14ac:dyDescent="0.25">
      <c r="A130" s="17">
        <v>3611</v>
      </c>
      <c r="B130" s="57">
        <v>11</v>
      </c>
      <c r="C130" s="6" t="s">
        <v>93</v>
      </c>
      <c r="D130" s="58">
        <v>0</v>
      </c>
      <c r="E130" s="58">
        <v>4968730616</v>
      </c>
      <c r="F130" s="58">
        <v>0</v>
      </c>
      <c r="G130" s="58">
        <v>0</v>
      </c>
      <c r="H130" s="58"/>
      <c r="I130" s="58">
        <v>0</v>
      </c>
      <c r="J130" s="58">
        <f t="shared" si="36"/>
        <v>4968730616</v>
      </c>
      <c r="K130" s="58">
        <f t="shared" si="37"/>
        <v>4968730616</v>
      </c>
      <c r="L130" s="58">
        <v>4968730616</v>
      </c>
      <c r="M130" s="59">
        <f t="shared" si="35"/>
        <v>1</v>
      </c>
      <c r="N130" s="36"/>
    </row>
    <row r="131" spans="1:16" x14ac:dyDescent="0.25">
      <c r="A131" s="17">
        <v>3611</v>
      </c>
      <c r="B131" s="57">
        <v>20</v>
      </c>
      <c r="C131" s="6" t="s">
        <v>93</v>
      </c>
      <c r="D131" s="58">
        <v>0</v>
      </c>
      <c r="E131" s="58">
        <v>0</v>
      </c>
      <c r="F131" s="58">
        <v>0</v>
      </c>
      <c r="G131" s="58">
        <v>0</v>
      </c>
      <c r="H131" s="58">
        <f>20063226668+2610000000</f>
        <v>22673226668</v>
      </c>
      <c r="I131" s="58">
        <v>0</v>
      </c>
      <c r="J131" s="58">
        <f t="shared" si="36"/>
        <v>22673226668</v>
      </c>
      <c r="K131" s="58">
        <f t="shared" si="37"/>
        <v>22673226668</v>
      </c>
      <c r="L131" s="58">
        <v>22662130942.720001</v>
      </c>
      <c r="M131" s="59">
        <f t="shared" si="35"/>
        <v>0.99951062433933768</v>
      </c>
      <c r="N131" s="36"/>
    </row>
    <row r="132" spans="1:16" x14ac:dyDescent="0.25">
      <c r="A132" s="17">
        <v>3611</v>
      </c>
      <c r="B132" s="57">
        <v>21</v>
      </c>
      <c r="C132" s="6" t="s">
        <v>93</v>
      </c>
      <c r="D132" s="58">
        <v>17215700000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f t="shared" si="36"/>
        <v>0</v>
      </c>
      <c r="K132" s="58">
        <f t="shared" si="37"/>
        <v>17215700000</v>
      </c>
      <c r="L132" s="58">
        <v>17215700000</v>
      </c>
      <c r="M132" s="59">
        <f t="shared" si="35"/>
        <v>1</v>
      </c>
      <c r="N132" s="36">
        <f>+K132-[1]Julio!D150</f>
        <v>9132883510</v>
      </c>
    </row>
    <row r="133" spans="1:16" ht="42.75" customHeight="1" x14ac:dyDescent="0.25">
      <c r="A133" s="17">
        <v>363</v>
      </c>
      <c r="B133" s="57"/>
      <c r="C133" s="6" t="s">
        <v>94</v>
      </c>
      <c r="D133" s="58">
        <f>+D134</f>
        <v>1982700000</v>
      </c>
      <c r="E133" s="58">
        <f t="shared" ref="E133:I133" si="62">+E134</f>
        <v>0</v>
      </c>
      <c r="F133" s="58">
        <f t="shared" si="62"/>
        <v>0</v>
      </c>
      <c r="G133" s="58">
        <f t="shared" si="62"/>
        <v>0</v>
      </c>
      <c r="H133" s="58">
        <f t="shared" si="62"/>
        <v>0</v>
      </c>
      <c r="I133" s="58">
        <f t="shared" si="62"/>
        <v>1601743695</v>
      </c>
      <c r="J133" s="58">
        <f t="shared" si="36"/>
        <v>-1601743695</v>
      </c>
      <c r="K133" s="58">
        <f t="shared" si="37"/>
        <v>380956305</v>
      </c>
      <c r="L133" s="58">
        <f t="shared" ref="L133" si="63">+L134</f>
        <v>0</v>
      </c>
      <c r="M133" s="59">
        <f t="shared" si="35"/>
        <v>0</v>
      </c>
      <c r="N133" s="36"/>
    </row>
    <row r="134" spans="1:16" ht="24.95" customHeight="1" thickBot="1" x14ac:dyDescent="0.3">
      <c r="A134" s="61">
        <v>36326</v>
      </c>
      <c r="B134" s="62">
        <v>20</v>
      </c>
      <c r="C134" s="79" t="s">
        <v>201</v>
      </c>
      <c r="D134" s="64">
        <v>1982700000</v>
      </c>
      <c r="E134" s="64">
        <v>0</v>
      </c>
      <c r="F134" s="64">
        <v>0</v>
      </c>
      <c r="G134" s="64">
        <v>0</v>
      </c>
      <c r="H134" s="64">
        <v>0</v>
      </c>
      <c r="I134" s="64">
        <v>1601743695</v>
      </c>
      <c r="J134" s="64">
        <f t="shared" si="36"/>
        <v>-1601743695</v>
      </c>
      <c r="K134" s="64">
        <f t="shared" si="37"/>
        <v>380956305</v>
      </c>
      <c r="L134" s="64">
        <v>0</v>
      </c>
      <c r="M134" s="95">
        <f t="shared" si="35"/>
        <v>0</v>
      </c>
      <c r="N134" s="36"/>
    </row>
    <row r="135" spans="1:16" ht="16.5" thickBot="1" x14ac:dyDescent="0.3">
      <c r="A135" s="86" t="s">
        <v>96</v>
      </c>
      <c r="B135" s="48"/>
      <c r="C135" s="65" t="s">
        <v>97</v>
      </c>
      <c r="D135" s="66">
        <f>+D136</f>
        <v>288126500000</v>
      </c>
      <c r="E135" s="66">
        <f t="shared" ref="E135:I137" si="64">+E136</f>
        <v>0</v>
      </c>
      <c r="F135" s="66">
        <f t="shared" si="64"/>
        <v>0</v>
      </c>
      <c r="G135" s="66">
        <f t="shared" si="64"/>
        <v>0</v>
      </c>
      <c r="H135" s="66">
        <f t="shared" si="64"/>
        <v>0</v>
      </c>
      <c r="I135" s="66">
        <f t="shared" si="64"/>
        <v>0</v>
      </c>
      <c r="J135" s="66">
        <f t="shared" si="36"/>
        <v>0</v>
      </c>
      <c r="K135" s="66">
        <f t="shared" si="37"/>
        <v>288126500000</v>
      </c>
      <c r="L135" s="66">
        <f t="shared" ref="L135:L137" si="65">+L136</f>
        <v>250547716944.64001</v>
      </c>
      <c r="M135" s="96">
        <f t="shared" si="35"/>
        <v>0.86957540158451241</v>
      </c>
      <c r="N135" s="36">
        <f>+K135-[1]Julio!D154</f>
        <v>114218500000</v>
      </c>
    </row>
    <row r="136" spans="1:16" x14ac:dyDescent="0.25">
      <c r="A136" s="53">
        <v>7</v>
      </c>
      <c r="B136" s="54"/>
      <c r="C136" s="55" t="s">
        <v>97</v>
      </c>
      <c r="D136" s="56">
        <f>+D137</f>
        <v>288126500000</v>
      </c>
      <c r="E136" s="56">
        <f t="shared" si="64"/>
        <v>0</v>
      </c>
      <c r="F136" s="56">
        <f t="shared" si="64"/>
        <v>0</v>
      </c>
      <c r="G136" s="56">
        <f t="shared" si="64"/>
        <v>0</v>
      </c>
      <c r="H136" s="56">
        <f t="shared" si="64"/>
        <v>0</v>
      </c>
      <c r="I136" s="56">
        <f t="shared" si="64"/>
        <v>0</v>
      </c>
      <c r="J136" s="56">
        <f t="shared" si="36"/>
        <v>0</v>
      </c>
      <c r="K136" s="56">
        <f t="shared" si="37"/>
        <v>288126500000</v>
      </c>
      <c r="L136" s="56">
        <f t="shared" si="65"/>
        <v>250547716944.64001</v>
      </c>
      <c r="M136" s="88">
        <f t="shared" si="35"/>
        <v>0.86957540158451241</v>
      </c>
      <c r="N136" s="36">
        <f>+K136-[1]Julio!D155</f>
        <v>114218500000</v>
      </c>
    </row>
    <row r="137" spans="1:16" ht="31.5" x14ac:dyDescent="0.25">
      <c r="A137" s="17">
        <v>71</v>
      </c>
      <c r="B137" s="57"/>
      <c r="C137" s="6" t="s">
        <v>98</v>
      </c>
      <c r="D137" s="58">
        <f>+D138</f>
        <v>288126500000</v>
      </c>
      <c r="E137" s="58">
        <f t="shared" si="64"/>
        <v>0</v>
      </c>
      <c r="F137" s="58">
        <f t="shared" si="64"/>
        <v>0</v>
      </c>
      <c r="G137" s="58">
        <f t="shared" si="64"/>
        <v>0</v>
      </c>
      <c r="H137" s="58">
        <f t="shared" si="64"/>
        <v>0</v>
      </c>
      <c r="I137" s="58">
        <f t="shared" si="64"/>
        <v>0</v>
      </c>
      <c r="J137" s="58">
        <f t="shared" si="36"/>
        <v>0</v>
      </c>
      <c r="K137" s="58">
        <f t="shared" si="37"/>
        <v>288126500000</v>
      </c>
      <c r="L137" s="58">
        <f t="shared" si="65"/>
        <v>250547716944.64001</v>
      </c>
      <c r="M137" s="59">
        <f t="shared" si="35"/>
        <v>0.86957540158451241</v>
      </c>
      <c r="N137" s="36">
        <f>+K137-[1]Julio!D156</f>
        <v>114218500000</v>
      </c>
    </row>
    <row r="138" spans="1:16" ht="16.5" thickBot="1" x14ac:dyDescent="0.3">
      <c r="A138" s="61">
        <v>711</v>
      </c>
      <c r="B138" s="62">
        <v>11</v>
      </c>
      <c r="C138" s="63" t="s">
        <v>99</v>
      </c>
      <c r="D138" s="64">
        <v>288126500000</v>
      </c>
      <c r="E138" s="64">
        <v>0</v>
      </c>
      <c r="F138" s="64">
        <v>0</v>
      </c>
      <c r="G138" s="64">
        <v>0</v>
      </c>
      <c r="H138" s="64">
        <v>0</v>
      </c>
      <c r="I138" s="64">
        <v>0</v>
      </c>
      <c r="J138" s="64">
        <f t="shared" si="36"/>
        <v>0</v>
      </c>
      <c r="K138" s="64">
        <f t="shared" si="37"/>
        <v>288126500000</v>
      </c>
      <c r="L138" s="64">
        <v>250547716944.64001</v>
      </c>
      <c r="M138" s="95">
        <f t="shared" si="35"/>
        <v>0.86957540158451241</v>
      </c>
      <c r="N138" s="36">
        <f>+K138-[1]Julio!D158</f>
        <v>186329500000</v>
      </c>
    </row>
    <row r="139" spans="1:16" ht="16.5" customHeight="1" thickBot="1" x14ac:dyDescent="0.3">
      <c r="A139" s="86" t="s">
        <v>100</v>
      </c>
      <c r="B139" s="48"/>
      <c r="C139" s="65" t="s">
        <v>101</v>
      </c>
      <c r="D139" s="66">
        <f t="shared" ref="D139:I139" si="66">+D140+D165+D159</f>
        <v>3442632764858</v>
      </c>
      <c r="E139" s="66">
        <f t="shared" si="66"/>
        <v>232403000000</v>
      </c>
      <c r="F139" s="66">
        <f t="shared" si="66"/>
        <v>0</v>
      </c>
      <c r="G139" s="66">
        <f t="shared" si="66"/>
        <v>0</v>
      </c>
      <c r="H139" s="66">
        <f t="shared" si="66"/>
        <v>15150000000</v>
      </c>
      <c r="I139" s="66">
        <f t="shared" si="66"/>
        <v>35213226668</v>
      </c>
      <c r="J139" s="66">
        <f t="shared" si="36"/>
        <v>212339773332</v>
      </c>
      <c r="K139" s="66">
        <f>+K140+K159+K165</f>
        <v>3654972538190</v>
      </c>
      <c r="L139" s="66">
        <f>+L140+L159+L165</f>
        <v>3522159294936</v>
      </c>
      <c r="M139" s="96">
        <f t="shared" si="35"/>
        <v>0.96366231432212857</v>
      </c>
      <c r="N139" s="36">
        <f>+K139-[1]Julio!D159</f>
        <v>1418551375129</v>
      </c>
      <c r="O139" s="36"/>
      <c r="P139" s="36"/>
    </row>
    <row r="140" spans="1:16" ht="30.75" customHeight="1" x14ac:dyDescent="0.25">
      <c r="A140" s="53">
        <v>113</v>
      </c>
      <c r="B140" s="54"/>
      <c r="C140" s="55" t="s">
        <v>102</v>
      </c>
      <c r="D140" s="56">
        <f>+D141+D149+D154+D157</f>
        <v>2952360233827</v>
      </c>
      <c r="E140" s="56">
        <f t="shared" ref="E140:I140" si="67">+E141+E149+E154+E157</f>
        <v>0</v>
      </c>
      <c r="F140" s="56">
        <f t="shared" si="67"/>
        <v>0</v>
      </c>
      <c r="G140" s="56">
        <f t="shared" si="67"/>
        <v>0</v>
      </c>
      <c r="H140" s="56">
        <f t="shared" si="67"/>
        <v>0</v>
      </c>
      <c r="I140" s="56">
        <f t="shared" si="67"/>
        <v>32213226668</v>
      </c>
      <c r="J140" s="56">
        <f t="shared" si="36"/>
        <v>-32213226668</v>
      </c>
      <c r="K140" s="56">
        <f t="shared" si="37"/>
        <v>2920147007159</v>
      </c>
      <c r="L140" s="56">
        <f>+L141+L149+L154</f>
        <v>2791028804015</v>
      </c>
      <c r="M140" s="88">
        <f t="shared" si="35"/>
        <v>0.95578366334727149</v>
      </c>
      <c r="N140" s="36">
        <f>+K140-[1]Julio!D160</f>
        <v>872572677340</v>
      </c>
      <c r="O140" s="37"/>
      <c r="P140" s="37"/>
    </row>
    <row r="141" spans="1:16" x14ac:dyDescent="0.25">
      <c r="A141" s="17">
        <v>113600</v>
      </c>
      <c r="B141" s="57"/>
      <c r="C141" s="6" t="s">
        <v>103</v>
      </c>
      <c r="D141" s="58">
        <f>SUM(D142:D148)</f>
        <v>1751304821090</v>
      </c>
      <c r="E141" s="58">
        <f t="shared" ref="E141:I141" si="68">SUM(E142:E148)</f>
        <v>0</v>
      </c>
      <c r="F141" s="58">
        <f t="shared" si="68"/>
        <v>0</v>
      </c>
      <c r="G141" s="58">
        <f t="shared" si="68"/>
        <v>0</v>
      </c>
      <c r="H141" s="58">
        <f t="shared" si="68"/>
        <v>0</v>
      </c>
      <c r="I141" s="58">
        <f t="shared" si="68"/>
        <v>0</v>
      </c>
      <c r="J141" s="58">
        <f t="shared" si="36"/>
        <v>0</v>
      </c>
      <c r="K141" s="58">
        <f t="shared" si="37"/>
        <v>1751304821090</v>
      </c>
      <c r="L141" s="58">
        <f>SUM(L142:L148)</f>
        <v>1751304821090</v>
      </c>
      <c r="M141" s="59">
        <f t="shared" si="35"/>
        <v>1</v>
      </c>
      <c r="N141" s="36">
        <f>+K141-[1]Julio!D161</f>
        <v>236526621090</v>
      </c>
      <c r="O141" s="37"/>
    </row>
    <row r="142" spans="1:16" s="77" customFormat="1" ht="47.25" x14ac:dyDescent="0.25">
      <c r="A142" s="67">
        <v>113600125</v>
      </c>
      <c r="B142" s="68">
        <v>10</v>
      </c>
      <c r="C142" s="60" t="s">
        <v>164</v>
      </c>
      <c r="D142" s="58">
        <v>22717512730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f t="shared" si="36"/>
        <v>0</v>
      </c>
      <c r="K142" s="58">
        <f t="shared" si="37"/>
        <v>22717512730</v>
      </c>
      <c r="L142" s="58">
        <v>22717512730</v>
      </c>
      <c r="M142" s="59">
        <f t="shared" si="35"/>
        <v>1</v>
      </c>
      <c r="N142" s="75"/>
      <c r="O142" s="76"/>
    </row>
    <row r="143" spans="1:16" s="77" customFormat="1" ht="63" x14ac:dyDescent="0.25">
      <c r="A143" s="67">
        <v>113600128</v>
      </c>
      <c r="B143" s="68">
        <v>10</v>
      </c>
      <c r="C143" s="60" t="s">
        <v>165</v>
      </c>
      <c r="D143" s="58">
        <v>1149333200000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f t="shared" si="36"/>
        <v>0</v>
      </c>
      <c r="K143" s="58">
        <f t="shared" si="37"/>
        <v>1149333200000</v>
      </c>
      <c r="L143" s="58">
        <v>1149333200000</v>
      </c>
      <c r="M143" s="59">
        <f t="shared" si="35"/>
        <v>1</v>
      </c>
      <c r="N143" s="75"/>
      <c r="O143" s="76"/>
    </row>
    <row r="144" spans="1:16" s="77" customFormat="1" ht="63" x14ac:dyDescent="0.25">
      <c r="A144" s="67">
        <v>113600129</v>
      </c>
      <c r="B144" s="68">
        <v>10</v>
      </c>
      <c r="C144" s="60" t="s">
        <v>166</v>
      </c>
      <c r="D144" s="58">
        <v>152954108360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f t="shared" si="36"/>
        <v>0</v>
      </c>
      <c r="K144" s="58">
        <f t="shared" si="37"/>
        <v>152954108360</v>
      </c>
      <c r="L144" s="58">
        <f t="shared" si="37"/>
        <v>152954108360</v>
      </c>
      <c r="M144" s="59">
        <f t="shared" si="35"/>
        <v>1</v>
      </c>
      <c r="N144" s="75"/>
      <c r="O144" s="76"/>
    </row>
    <row r="145" spans="1:16" s="77" customFormat="1" ht="52.5" customHeight="1" x14ac:dyDescent="0.25">
      <c r="A145" s="67">
        <v>113600130</v>
      </c>
      <c r="B145" s="68">
        <v>10</v>
      </c>
      <c r="C145" s="60" t="s">
        <v>167</v>
      </c>
      <c r="D145" s="58">
        <v>126300000000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f t="shared" si="36"/>
        <v>0</v>
      </c>
      <c r="K145" s="58">
        <f t="shared" si="37"/>
        <v>126300000000</v>
      </c>
      <c r="L145" s="58">
        <f t="shared" si="37"/>
        <v>126300000000</v>
      </c>
      <c r="M145" s="59">
        <f t="shared" si="35"/>
        <v>1</v>
      </c>
      <c r="N145" s="75"/>
      <c r="O145" s="76"/>
    </row>
    <row r="146" spans="1:16" s="77" customFormat="1" ht="52.5" customHeight="1" x14ac:dyDescent="0.25">
      <c r="A146" s="67">
        <v>113600131</v>
      </c>
      <c r="B146" s="68">
        <v>10</v>
      </c>
      <c r="C146" s="60" t="s">
        <v>168</v>
      </c>
      <c r="D146" s="58">
        <v>92417435716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f t="shared" si="36"/>
        <v>0</v>
      </c>
      <c r="K146" s="58">
        <f t="shared" si="37"/>
        <v>92417435716</v>
      </c>
      <c r="L146" s="58">
        <f t="shared" si="37"/>
        <v>92417435716</v>
      </c>
      <c r="M146" s="59">
        <f t="shared" si="35"/>
        <v>1</v>
      </c>
      <c r="N146" s="75"/>
      <c r="O146" s="76"/>
    </row>
    <row r="147" spans="1:16" s="77" customFormat="1" ht="52.5" customHeight="1" x14ac:dyDescent="0.25">
      <c r="A147" s="67">
        <v>113600131</v>
      </c>
      <c r="B147" s="68">
        <v>11</v>
      </c>
      <c r="C147" s="60" t="s">
        <v>168</v>
      </c>
      <c r="D147" s="58">
        <v>107582564284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f t="shared" si="36"/>
        <v>0</v>
      </c>
      <c r="K147" s="58">
        <f t="shared" si="37"/>
        <v>107582564284</v>
      </c>
      <c r="L147" s="58">
        <f t="shared" si="37"/>
        <v>107582564284</v>
      </c>
      <c r="M147" s="59">
        <f t="shared" si="35"/>
        <v>1</v>
      </c>
      <c r="N147" s="75"/>
      <c r="O147" s="76"/>
    </row>
    <row r="148" spans="1:16" s="77" customFormat="1" ht="63.75" customHeight="1" x14ac:dyDescent="0.25">
      <c r="A148" s="67">
        <v>113600132</v>
      </c>
      <c r="B148" s="68">
        <v>11</v>
      </c>
      <c r="C148" s="60" t="s">
        <v>169</v>
      </c>
      <c r="D148" s="58">
        <v>100000000000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f t="shared" si="36"/>
        <v>0</v>
      </c>
      <c r="K148" s="58">
        <f t="shared" si="37"/>
        <v>100000000000</v>
      </c>
      <c r="L148" s="58">
        <f t="shared" si="37"/>
        <v>100000000000</v>
      </c>
      <c r="M148" s="59">
        <f t="shared" si="35"/>
        <v>1</v>
      </c>
      <c r="N148" s="75"/>
      <c r="O148" s="76"/>
    </row>
    <row r="149" spans="1:16" x14ac:dyDescent="0.25">
      <c r="A149" s="17">
        <v>113601</v>
      </c>
      <c r="B149" s="57"/>
      <c r="C149" s="60" t="s">
        <v>179</v>
      </c>
      <c r="D149" s="58">
        <f>SUM(D150:D153)</f>
        <v>1074840114000</v>
      </c>
      <c r="E149" s="58">
        <f t="shared" ref="E149:I149" si="69">SUM(E150:E153)</f>
        <v>0</v>
      </c>
      <c r="F149" s="58">
        <f t="shared" si="69"/>
        <v>0</v>
      </c>
      <c r="G149" s="58">
        <f t="shared" si="69"/>
        <v>0</v>
      </c>
      <c r="H149" s="58">
        <f t="shared" si="69"/>
        <v>0</v>
      </c>
      <c r="I149" s="58">
        <f t="shared" si="69"/>
        <v>0</v>
      </c>
      <c r="J149" s="58">
        <f t="shared" si="36"/>
        <v>0</v>
      </c>
      <c r="K149" s="58">
        <f t="shared" si="37"/>
        <v>1074840114000</v>
      </c>
      <c r="L149" s="58">
        <f>SUM(L150:L153)</f>
        <v>1002724142280</v>
      </c>
      <c r="M149" s="59">
        <f t="shared" si="35"/>
        <v>0.93290539608572887</v>
      </c>
      <c r="N149" s="36"/>
      <c r="O149" s="37"/>
    </row>
    <row r="150" spans="1:16" ht="31.5" x14ac:dyDescent="0.25">
      <c r="A150" s="17">
        <v>1136013</v>
      </c>
      <c r="B150" s="57">
        <v>20</v>
      </c>
      <c r="C150" s="6" t="s">
        <v>104</v>
      </c>
      <c r="D150" s="58">
        <v>30120000000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f t="shared" si="36"/>
        <v>0</v>
      </c>
      <c r="K150" s="58">
        <f t="shared" si="37"/>
        <v>30120000000</v>
      </c>
      <c r="L150" s="58">
        <f t="shared" si="37"/>
        <v>30120000000</v>
      </c>
      <c r="M150" s="59">
        <f t="shared" si="35"/>
        <v>1</v>
      </c>
      <c r="N150" s="36"/>
      <c r="O150" s="37"/>
    </row>
    <row r="151" spans="1:16" ht="44.25" customHeight="1" x14ac:dyDescent="0.25">
      <c r="A151" s="17">
        <v>1136013</v>
      </c>
      <c r="B151" s="57">
        <v>10</v>
      </c>
      <c r="C151" s="6" t="s">
        <v>104</v>
      </c>
      <c r="D151" s="58">
        <v>377120000000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f t="shared" si="36"/>
        <v>0</v>
      </c>
      <c r="K151" s="58">
        <f t="shared" si="37"/>
        <v>377120000000</v>
      </c>
      <c r="L151" s="58">
        <f t="shared" si="37"/>
        <v>377120000000</v>
      </c>
      <c r="M151" s="59">
        <f t="shared" si="35"/>
        <v>1</v>
      </c>
      <c r="N151" s="36">
        <f>+K151-[1]Julio!D162</f>
        <v>244702500000</v>
      </c>
      <c r="P151" s="37"/>
    </row>
    <row r="152" spans="1:16" ht="59.25" customHeight="1" x14ac:dyDescent="0.25">
      <c r="A152" s="17">
        <v>1136015</v>
      </c>
      <c r="B152" s="57">
        <v>10</v>
      </c>
      <c r="C152" s="6" t="s">
        <v>146</v>
      </c>
      <c r="D152" s="58">
        <v>555958000000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f t="shared" si="36"/>
        <v>0</v>
      </c>
      <c r="K152" s="58">
        <f t="shared" si="37"/>
        <v>555958000000</v>
      </c>
      <c r="L152" s="58">
        <f t="shared" si="37"/>
        <v>555958000000</v>
      </c>
      <c r="M152" s="59">
        <f t="shared" si="35"/>
        <v>1</v>
      </c>
      <c r="N152" s="36"/>
      <c r="P152" s="37"/>
    </row>
    <row r="153" spans="1:16" ht="72.75" customHeight="1" x14ac:dyDescent="0.25">
      <c r="A153" s="17">
        <v>1136016</v>
      </c>
      <c r="B153" s="57">
        <v>10</v>
      </c>
      <c r="C153" s="6" t="s">
        <v>170</v>
      </c>
      <c r="D153" s="58">
        <v>111642114000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f t="shared" si="36"/>
        <v>0</v>
      </c>
      <c r="K153" s="58">
        <f t="shared" si="37"/>
        <v>111642114000</v>
      </c>
      <c r="L153" s="58">
        <v>39526142280</v>
      </c>
      <c r="M153" s="59">
        <f t="shared" si="35"/>
        <v>0.35404329839185955</v>
      </c>
      <c r="N153" s="36"/>
      <c r="P153" s="37"/>
    </row>
    <row r="154" spans="1:16" ht="44.25" customHeight="1" x14ac:dyDescent="0.25">
      <c r="A154" s="17">
        <v>113605</v>
      </c>
      <c r="B154" s="57"/>
      <c r="C154" s="6" t="s">
        <v>105</v>
      </c>
      <c r="D154" s="58">
        <f t="shared" ref="D154:I154" si="70">SUM(D155:D156)</f>
        <v>123215298737</v>
      </c>
      <c r="E154" s="58">
        <f t="shared" si="70"/>
        <v>0</v>
      </c>
      <c r="F154" s="58">
        <f t="shared" si="70"/>
        <v>0</v>
      </c>
      <c r="G154" s="58">
        <f t="shared" si="70"/>
        <v>0</v>
      </c>
      <c r="H154" s="58">
        <f t="shared" si="70"/>
        <v>0</v>
      </c>
      <c r="I154" s="58">
        <f t="shared" si="70"/>
        <v>32213226668</v>
      </c>
      <c r="J154" s="58">
        <f t="shared" si="36"/>
        <v>-32213226668</v>
      </c>
      <c r="K154" s="58">
        <f t="shared" si="37"/>
        <v>91002072069</v>
      </c>
      <c r="L154" s="58">
        <f>SUM(L155:L156)</f>
        <v>36999840645</v>
      </c>
      <c r="M154" s="59">
        <f t="shared" si="35"/>
        <v>0.40658239756283587</v>
      </c>
      <c r="N154" s="36"/>
      <c r="P154" s="37"/>
    </row>
    <row r="155" spans="1:16" ht="75.75" customHeight="1" x14ac:dyDescent="0.25">
      <c r="A155" s="17">
        <v>1136057</v>
      </c>
      <c r="B155" s="57">
        <v>20</v>
      </c>
      <c r="C155" s="6" t="s">
        <v>106</v>
      </c>
      <c r="D155" s="58">
        <v>104869600000</v>
      </c>
      <c r="E155" s="58">
        <v>0</v>
      </c>
      <c r="F155" s="58">
        <v>0</v>
      </c>
      <c r="G155" s="58">
        <v>0</v>
      </c>
      <c r="H155" s="58">
        <v>0</v>
      </c>
      <c r="I155" s="58">
        <v>32213226668</v>
      </c>
      <c r="J155" s="58">
        <f t="shared" si="36"/>
        <v>-32213226668</v>
      </c>
      <c r="K155" s="58">
        <f t="shared" si="37"/>
        <v>72656373332</v>
      </c>
      <c r="L155" s="58">
        <v>27800015573</v>
      </c>
      <c r="M155" s="59">
        <f t="shared" ref="M155:M169" si="71">+L155/K155</f>
        <v>0.38262322075957589</v>
      </c>
      <c r="N155" s="36"/>
      <c r="P155" s="37"/>
    </row>
    <row r="156" spans="1:16" s="31" customFormat="1" ht="75.75" customHeight="1" x14ac:dyDescent="0.25">
      <c r="A156" s="111">
        <v>1136057</v>
      </c>
      <c r="B156" s="108">
        <v>21</v>
      </c>
      <c r="C156" s="109" t="s">
        <v>106</v>
      </c>
      <c r="D156" s="16">
        <v>18345698737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f t="shared" si="36"/>
        <v>0</v>
      </c>
      <c r="K156" s="16">
        <f t="shared" si="37"/>
        <v>18345698737</v>
      </c>
      <c r="L156" s="16">
        <v>9199825072</v>
      </c>
      <c r="M156" s="110">
        <f t="shared" si="71"/>
        <v>0.50147041025183714</v>
      </c>
      <c r="N156" s="155"/>
      <c r="P156" s="156"/>
    </row>
    <row r="157" spans="1:16" ht="44.25" customHeight="1" x14ac:dyDescent="0.25">
      <c r="A157" s="17">
        <v>113607</v>
      </c>
      <c r="B157" s="57"/>
      <c r="C157" s="6" t="s">
        <v>159</v>
      </c>
      <c r="D157" s="58">
        <f t="shared" ref="D157:I157" si="72">+D158</f>
        <v>3000000000</v>
      </c>
      <c r="E157" s="58">
        <f t="shared" si="72"/>
        <v>0</v>
      </c>
      <c r="F157" s="58">
        <f t="shared" si="72"/>
        <v>0</v>
      </c>
      <c r="G157" s="58">
        <f t="shared" si="72"/>
        <v>0</v>
      </c>
      <c r="H157" s="58">
        <f t="shared" si="72"/>
        <v>0</v>
      </c>
      <c r="I157" s="58">
        <f t="shared" si="72"/>
        <v>0</v>
      </c>
      <c r="J157" s="58">
        <f t="shared" si="36"/>
        <v>0</v>
      </c>
      <c r="K157" s="58">
        <f t="shared" si="37"/>
        <v>3000000000</v>
      </c>
      <c r="L157" s="58">
        <f>+L158</f>
        <v>0</v>
      </c>
      <c r="M157" s="59">
        <f t="shared" si="71"/>
        <v>0</v>
      </c>
      <c r="N157" s="36"/>
      <c r="P157" s="37"/>
    </row>
    <row r="158" spans="1:16" ht="44.25" customHeight="1" x14ac:dyDescent="0.25">
      <c r="A158" s="17">
        <v>1136071</v>
      </c>
      <c r="B158" s="57">
        <v>21</v>
      </c>
      <c r="C158" s="6" t="s">
        <v>160</v>
      </c>
      <c r="D158" s="58">
        <v>3000000000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f t="shared" si="36"/>
        <v>0</v>
      </c>
      <c r="K158" s="58">
        <f t="shared" si="37"/>
        <v>3000000000</v>
      </c>
      <c r="L158" s="58">
        <v>0</v>
      </c>
      <c r="M158" s="59">
        <f>+L158/K158</f>
        <v>0</v>
      </c>
      <c r="N158" s="36"/>
      <c r="P158" s="37"/>
    </row>
    <row r="159" spans="1:16" ht="74.25" customHeight="1" x14ac:dyDescent="0.25">
      <c r="A159" s="17">
        <v>520</v>
      </c>
      <c r="B159" s="57"/>
      <c r="C159" s="6" t="s">
        <v>161</v>
      </c>
      <c r="D159" s="58">
        <f>+D160</f>
        <v>79271665313</v>
      </c>
      <c r="E159" s="58">
        <f t="shared" ref="E159:I159" si="73">+E160</f>
        <v>0</v>
      </c>
      <c r="F159" s="58">
        <f t="shared" si="73"/>
        <v>0</v>
      </c>
      <c r="G159" s="58">
        <f t="shared" si="73"/>
        <v>0</v>
      </c>
      <c r="H159" s="58">
        <f t="shared" si="73"/>
        <v>15150000000</v>
      </c>
      <c r="I159" s="58">
        <f t="shared" si="73"/>
        <v>3000000000</v>
      </c>
      <c r="J159" s="58">
        <f t="shared" ref="J159:J169" si="74">E159-F159-G159+H159-I159</f>
        <v>12150000000</v>
      </c>
      <c r="K159" s="58">
        <f t="shared" si="37"/>
        <v>91421665313</v>
      </c>
      <c r="L159" s="58">
        <f t="shared" ref="L159" si="75">+L160</f>
        <v>90442401002</v>
      </c>
      <c r="M159" s="59">
        <f t="shared" si="71"/>
        <v>0.98928848749749532</v>
      </c>
      <c r="N159" s="36"/>
      <c r="P159" s="37"/>
    </row>
    <row r="160" spans="1:16" ht="48" customHeight="1" x14ac:dyDescent="0.25">
      <c r="A160" s="17">
        <v>520600</v>
      </c>
      <c r="B160" s="57"/>
      <c r="C160" s="6" t="s">
        <v>103</v>
      </c>
      <c r="D160" s="58">
        <f>SUM(D161:D164)</f>
        <v>79271665313</v>
      </c>
      <c r="E160" s="58">
        <f t="shared" ref="E160:I160" si="76">SUM(E161:E164)</f>
        <v>0</v>
      </c>
      <c r="F160" s="58">
        <f t="shared" si="76"/>
        <v>0</v>
      </c>
      <c r="G160" s="58">
        <f t="shared" si="76"/>
        <v>0</v>
      </c>
      <c r="H160" s="58">
        <f t="shared" si="76"/>
        <v>15150000000</v>
      </c>
      <c r="I160" s="58">
        <f t="shared" si="76"/>
        <v>3000000000</v>
      </c>
      <c r="J160" s="58">
        <f t="shared" si="74"/>
        <v>12150000000</v>
      </c>
      <c r="K160" s="58">
        <f t="shared" si="37"/>
        <v>91421665313</v>
      </c>
      <c r="L160" s="58">
        <f t="shared" ref="L160" si="77">SUM(L161:L164)</f>
        <v>90442401002</v>
      </c>
      <c r="M160" s="59">
        <f t="shared" si="71"/>
        <v>0.98928848749749532</v>
      </c>
      <c r="N160" s="58"/>
      <c r="O160" s="58"/>
      <c r="P160" s="58"/>
    </row>
    <row r="161" spans="1:16" ht="62.25" customHeight="1" x14ac:dyDescent="0.25">
      <c r="A161" s="17">
        <v>5206001</v>
      </c>
      <c r="B161" s="57">
        <v>10</v>
      </c>
      <c r="C161" s="6" t="s">
        <v>171</v>
      </c>
      <c r="D161" s="58">
        <v>808164910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f t="shared" si="74"/>
        <v>0</v>
      </c>
      <c r="K161" s="58">
        <f t="shared" si="37"/>
        <v>808164910</v>
      </c>
      <c r="L161" s="58">
        <v>808164910</v>
      </c>
      <c r="M161" s="59">
        <f t="shared" si="71"/>
        <v>1</v>
      </c>
      <c r="N161" s="36"/>
      <c r="P161" s="37"/>
    </row>
    <row r="162" spans="1:16" ht="84" customHeight="1" x14ac:dyDescent="0.25">
      <c r="A162" s="17">
        <v>5206001</v>
      </c>
      <c r="B162" s="57">
        <v>21</v>
      </c>
      <c r="C162" s="6" t="s">
        <v>171</v>
      </c>
      <c r="D162" s="58">
        <v>10953032209</v>
      </c>
      <c r="E162" s="58">
        <v>0</v>
      </c>
      <c r="F162" s="58">
        <v>0</v>
      </c>
      <c r="G162" s="58">
        <v>0</v>
      </c>
      <c r="H162" s="58">
        <v>3000000000</v>
      </c>
      <c r="I162" s="58">
        <v>0</v>
      </c>
      <c r="J162" s="58">
        <f t="shared" si="74"/>
        <v>3000000000</v>
      </c>
      <c r="K162" s="58">
        <f t="shared" si="37"/>
        <v>13953032209</v>
      </c>
      <c r="L162" s="58">
        <v>13008106500</v>
      </c>
      <c r="M162" s="59">
        <f t="shared" si="71"/>
        <v>0.93227811024542018</v>
      </c>
      <c r="N162" s="36"/>
      <c r="P162" s="37"/>
    </row>
    <row r="163" spans="1:16" ht="84" customHeight="1" x14ac:dyDescent="0.25">
      <c r="A163" s="17">
        <v>5206002</v>
      </c>
      <c r="B163" s="57">
        <v>20</v>
      </c>
      <c r="C163" s="6" t="s">
        <v>172</v>
      </c>
      <c r="D163" s="58">
        <v>0</v>
      </c>
      <c r="E163" s="58">
        <v>0</v>
      </c>
      <c r="F163" s="58">
        <v>0</v>
      </c>
      <c r="G163" s="58">
        <v>0</v>
      </c>
      <c r="H163" s="58">
        <v>12150000000</v>
      </c>
      <c r="I163" s="58">
        <v>0</v>
      </c>
      <c r="J163" s="58">
        <f t="shared" si="74"/>
        <v>12150000000</v>
      </c>
      <c r="K163" s="58">
        <f t="shared" si="37"/>
        <v>12150000000</v>
      </c>
      <c r="L163" s="58">
        <v>12150000000</v>
      </c>
      <c r="M163" s="59">
        <f t="shared" si="71"/>
        <v>1</v>
      </c>
      <c r="N163" s="36"/>
      <c r="P163" s="37"/>
    </row>
    <row r="164" spans="1:16" ht="84" customHeight="1" x14ac:dyDescent="0.25">
      <c r="A164" s="17">
        <v>5206002</v>
      </c>
      <c r="B164" s="57">
        <v>21</v>
      </c>
      <c r="C164" s="6" t="s">
        <v>172</v>
      </c>
      <c r="D164" s="58">
        <v>67510468194</v>
      </c>
      <c r="E164" s="58">
        <v>0</v>
      </c>
      <c r="F164" s="58">
        <v>0</v>
      </c>
      <c r="G164" s="58">
        <v>0</v>
      </c>
      <c r="H164" s="58">
        <v>0</v>
      </c>
      <c r="I164" s="58">
        <v>3000000000</v>
      </c>
      <c r="J164" s="58">
        <f t="shared" si="74"/>
        <v>-3000000000</v>
      </c>
      <c r="K164" s="58">
        <f t="shared" si="37"/>
        <v>64510468194</v>
      </c>
      <c r="L164" s="58">
        <v>64476129592</v>
      </c>
      <c r="M164" s="59">
        <f t="shared" si="71"/>
        <v>0.99946770496384041</v>
      </c>
      <c r="N164" s="36"/>
      <c r="P164" s="37"/>
    </row>
    <row r="165" spans="1:16" ht="84" customHeight="1" x14ac:dyDescent="0.25">
      <c r="A165" s="17">
        <v>530</v>
      </c>
      <c r="B165" s="57"/>
      <c r="C165" s="6" t="s">
        <v>107</v>
      </c>
      <c r="D165" s="58">
        <f>+D166</f>
        <v>411000865718</v>
      </c>
      <c r="E165" s="58">
        <f t="shared" ref="E165:I165" si="78">+E166</f>
        <v>232403000000</v>
      </c>
      <c r="F165" s="58">
        <f t="shared" si="78"/>
        <v>0</v>
      </c>
      <c r="G165" s="58">
        <f t="shared" si="78"/>
        <v>0</v>
      </c>
      <c r="H165" s="58">
        <f t="shared" si="78"/>
        <v>0</v>
      </c>
      <c r="I165" s="58">
        <f t="shared" si="78"/>
        <v>0</v>
      </c>
      <c r="J165" s="58">
        <f t="shared" si="74"/>
        <v>232403000000</v>
      </c>
      <c r="K165" s="58">
        <f t="shared" ref="K165:K169" si="79">D165+J165</f>
        <v>643403865718</v>
      </c>
      <c r="L165" s="58">
        <f>+L166</f>
        <v>640688089919</v>
      </c>
      <c r="M165" s="59">
        <f t="shared" si="71"/>
        <v>0.99577904960833685</v>
      </c>
      <c r="N165" s="36"/>
    </row>
    <row r="166" spans="1:16" ht="74.25" customHeight="1" x14ac:dyDescent="0.25">
      <c r="A166" s="17">
        <v>530600</v>
      </c>
      <c r="B166" s="57"/>
      <c r="C166" s="6" t="s">
        <v>103</v>
      </c>
      <c r="D166" s="58">
        <f>+D167+D168+D169</f>
        <v>411000865718</v>
      </c>
      <c r="E166" s="58">
        <f t="shared" ref="E166:I166" si="80">+E167+E168+E169</f>
        <v>232403000000</v>
      </c>
      <c r="F166" s="58">
        <f t="shared" si="80"/>
        <v>0</v>
      </c>
      <c r="G166" s="58">
        <f t="shared" si="80"/>
        <v>0</v>
      </c>
      <c r="H166" s="58">
        <f t="shared" si="80"/>
        <v>0</v>
      </c>
      <c r="I166" s="58">
        <f t="shared" si="80"/>
        <v>0</v>
      </c>
      <c r="J166" s="58">
        <f t="shared" si="74"/>
        <v>232403000000</v>
      </c>
      <c r="K166" s="58">
        <f t="shared" si="79"/>
        <v>643403865718</v>
      </c>
      <c r="L166" s="58">
        <f t="shared" ref="L166" si="81">+L167+L168+L169</f>
        <v>640688089919</v>
      </c>
      <c r="M166" s="59">
        <f t="shared" si="71"/>
        <v>0.99577904960833685</v>
      </c>
      <c r="N166" s="36"/>
    </row>
    <row r="167" spans="1:16" ht="90.75" customHeight="1" x14ac:dyDescent="0.25">
      <c r="A167" s="17">
        <v>5306003</v>
      </c>
      <c r="B167" s="57">
        <v>13</v>
      </c>
      <c r="C167" s="6" t="s">
        <v>149</v>
      </c>
      <c r="D167" s="58">
        <v>0</v>
      </c>
      <c r="E167" s="58">
        <v>3289000000</v>
      </c>
      <c r="F167" s="58">
        <v>0</v>
      </c>
      <c r="G167" s="58">
        <v>0</v>
      </c>
      <c r="H167" s="58">
        <v>0</v>
      </c>
      <c r="I167" s="58">
        <v>0</v>
      </c>
      <c r="J167" s="58">
        <f t="shared" si="74"/>
        <v>3289000000</v>
      </c>
      <c r="K167" s="58">
        <f t="shared" si="79"/>
        <v>3289000000</v>
      </c>
      <c r="L167" s="58">
        <v>3289000000</v>
      </c>
      <c r="M167" s="59">
        <f t="shared" si="71"/>
        <v>1</v>
      </c>
      <c r="N167" s="36"/>
    </row>
    <row r="168" spans="1:16" ht="90.75" customHeight="1" x14ac:dyDescent="0.25">
      <c r="A168" s="17">
        <v>5306003</v>
      </c>
      <c r="B168" s="57">
        <v>21</v>
      </c>
      <c r="C168" s="6" t="s">
        <v>149</v>
      </c>
      <c r="D168" s="58">
        <v>23289865718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f t="shared" si="74"/>
        <v>0</v>
      </c>
      <c r="K168" s="58">
        <f t="shared" si="79"/>
        <v>23289865718</v>
      </c>
      <c r="L168" s="58">
        <v>22808832681</v>
      </c>
      <c r="M168" s="59">
        <f t="shared" si="71"/>
        <v>0.9793458217911396</v>
      </c>
      <c r="N168" s="36"/>
    </row>
    <row r="169" spans="1:16" ht="90.75" customHeight="1" thickBot="1" x14ac:dyDescent="0.3">
      <c r="A169" s="61">
        <v>5306003</v>
      </c>
      <c r="B169" s="62">
        <v>10</v>
      </c>
      <c r="C169" s="63" t="s">
        <v>150</v>
      </c>
      <c r="D169" s="64">
        <v>387711000000</v>
      </c>
      <c r="E169" s="64">
        <v>229114000000</v>
      </c>
      <c r="F169" s="64">
        <v>0</v>
      </c>
      <c r="G169" s="64">
        <v>0</v>
      </c>
      <c r="H169" s="64">
        <v>0</v>
      </c>
      <c r="I169" s="64">
        <v>0</v>
      </c>
      <c r="J169" s="64">
        <f t="shared" si="74"/>
        <v>229114000000</v>
      </c>
      <c r="K169" s="64">
        <f t="shared" si="79"/>
        <v>616825000000</v>
      </c>
      <c r="L169" s="64">
        <v>614590257238</v>
      </c>
      <c r="M169" s="95">
        <f t="shared" si="71"/>
        <v>0.99637702304219189</v>
      </c>
      <c r="N169" s="36"/>
    </row>
    <row r="170" spans="1:16" s="21" customFormat="1" ht="23.25" customHeight="1" thickBot="1" x14ac:dyDescent="0.3">
      <c r="A170" s="258" t="s">
        <v>108</v>
      </c>
      <c r="B170" s="259"/>
      <c r="C170" s="260"/>
      <c r="D170" s="105">
        <f t="shared" ref="D170:J170" si="82">+D11+D135+D139</f>
        <v>3782862700000</v>
      </c>
      <c r="E170" s="105">
        <f t="shared" si="82"/>
        <v>288739772788</v>
      </c>
      <c r="F170" s="105">
        <f t="shared" si="82"/>
        <v>0</v>
      </c>
      <c r="G170" s="105">
        <f t="shared" si="82"/>
        <v>0</v>
      </c>
      <c r="H170" s="105">
        <f t="shared" si="82"/>
        <v>50645299327</v>
      </c>
      <c r="I170" s="105">
        <f t="shared" si="82"/>
        <v>50645299327</v>
      </c>
      <c r="J170" s="105">
        <f t="shared" si="82"/>
        <v>288739772788</v>
      </c>
      <c r="K170" s="105">
        <f>+K11+K135+K139</f>
        <v>4071602472788</v>
      </c>
      <c r="L170" s="105">
        <f>+L139+L135+L11</f>
        <v>3895584385124.2002</v>
      </c>
      <c r="M170" s="106">
        <f>+L170/K170</f>
        <v>0.95676933373525719</v>
      </c>
    </row>
    <row r="172" spans="1:16" s="1" customFormat="1" ht="15" x14ac:dyDescent="0.25">
      <c r="A172" s="80" t="s">
        <v>173</v>
      </c>
      <c r="B172" s="46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20"/>
    </row>
    <row r="174" spans="1:16" x14ac:dyDescent="0.25">
      <c r="C174" s="264"/>
      <c r="D174" s="264"/>
      <c r="E174" s="264"/>
      <c r="F174" s="264"/>
      <c r="G174" s="264"/>
      <c r="H174" s="264"/>
      <c r="I174" s="264"/>
    </row>
    <row r="175" spans="1:16" x14ac:dyDescent="0.25">
      <c r="C175" s="264"/>
      <c r="D175" s="264"/>
      <c r="E175" s="264"/>
      <c r="F175" s="264"/>
      <c r="G175" s="264"/>
      <c r="H175" s="264"/>
      <c r="I175" s="264"/>
    </row>
    <row r="176" spans="1:16" x14ac:dyDescent="0.25">
      <c r="C176" s="264"/>
      <c r="D176" s="264"/>
      <c r="E176" s="264"/>
      <c r="F176" s="264"/>
      <c r="G176" s="264"/>
      <c r="H176" s="264"/>
      <c r="I176" s="264"/>
    </row>
    <row r="177" spans="3:9" x14ac:dyDescent="0.25">
      <c r="C177" s="264"/>
      <c r="D177" s="264"/>
      <c r="E177" s="264"/>
      <c r="F177" s="264"/>
      <c r="G177" s="39"/>
      <c r="H177" s="39"/>
      <c r="I177" s="39"/>
    </row>
  </sheetData>
  <mergeCells count="13">
    <mergeCell ref="L8:L9"/>
    <mergeCell ref="M8:M9"/>
    <mergeCell ref="A8:A10"/>
    <mergeCell ref="C8:C10"/>
    <mergeCell ref="C174:I174"/>
    <mergeCell ref="K8:K9"/>
    <mergeCell ref="C175:I175"/>
    <mergeCell ref="C176:I176"/>
    <mergeCell ref="C177:F177"/>
    <mergeCell ref="A170:C170"/>
    <mergeCell ref="B8:B10"/>
    <mergeCell ref="D8:D9"/>
    <mergeCell ref="E8:J8"/>
  </mergeCells>
  <printOptions horizontalCentered="1" verticalCentered="1"/>
  <pageMargins left="0.19685039370078741" right="0.19685039370078741" top="0.35433070866141736" bottom="0.55118110236220474" header="0.31496062992125984" footer="0.31496062992125984"/>
  <pageSetup paperSize="261" scale="65" orientation="landscape" r:id="rId1"/>
  <headerFooter>
    <oddFooter>&amp;Cpagina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B269"/>
  <sheetViews>
    <sheetView showGridLines="0" zoomScale="93" zoomScaleNormal="93" workbookViewId="0">
      <pane ySplit="10" topLeftCell="A199" activePane="bottomLeft" state="frozen"/>
      <selection activeCell="A154" sqref="A154"/>
      <selection pane="bottomLeft" activeCell="D11" sqref="D11"/>
    </sheetView>
  </sheetViews>
  <sheetFormatPr baseColWidth="10" defaultRowHeight="12.75" x14ac:dyDescent="0.25"/>
  <cols>
    <col min="1" max="1" width="14.85546875" style="22" customWidth="1"/>
    <col min="2" max="2" width="9.28515625" style="23" customWidth="1"/>
    <col min="3" max="3" width="37.85546875" style="24" customWidth="1"/>
    <col min="4" max="4" width="19.42578125" style="25" customWidth="1"/>
    <col min="5" max="5" width="12.42578125" style="25" hidden="1" customWidth="1"/>
    <col min="6" max="6" width="18.42578125" style="25" hidden="1" customWidth="1"/>
    <col min="7" max="7" width="16.7109375" style="25" hidden="1" customWidth="1"/>
    <col min="8" max="8" width="18.28515625" style="25" hidden="1" customWidth="1"/>
    <col min="9" max="9" width="17.7109375" style="25" hidden="1" customWidth="1"/>
    <col min="10" max="10" width="19.42578125" style="107" hidden="1" customWidth="1"/>
    <col min="11" max="11" width="19.85546875" style="107" customWidth="1"/>
    <col min="12" max="12" width="20.140625" style="25" customWidth="1"/>
    <col min="13" max="13" width="17.28515625" style="26" customWidth="1"/>
    <col min="14" max="14" width="29.140625" style="22" hidden="1" customWidth="1"/>
    <col min="15" max="16" width="19" style="22" hidden="1" customWidth="1"/>
    <col min="17" max="50" width="0" style="22" hidden="1" customWidth="1"/>
    <col min="51" max="51" width="18.28515625" style="22" bestFit="1" customWidth="1"/>
    <col min="52" max="52" width="13.5703125" style="22" bestFit="1" customWidth="1"/>
    <col min="53" max="53" width="11.5703125" style="22" bestFit="1" customWidth="1"/>
    <col min="54" max="54" width="14.5703125" style="22" bestFit="1" customWidth="1"/>
    <col min="55" max="16384" width="11.42578125" style="22"/>
  </cols>
  <sheetData>
    <row r="1" spans="1:16" s="1" customFormat="1" ht="15.75" thickBot="1" x14ac:dyDescent="0.3">
      <c r="A1" s="4"/>
      <c r="B1" s="15"/>
      <c r="C1" s="11"/>
      <c r="D1" s="12"/>
      <c r="E1" s="12"/>
      <c r="F1" s="12"/>
      <c r="G1" s="12"/>
      <c r="H1" s="12"/>
      <c r="I1" s="12"/>
      <c r="J1" s="12"/>
      <c r="K1" s="12"/>
      <c r="L1" s="12"/>
      <c r="M1" s="19"/>
    </row>
    <row r="2" spans="1:16" s="1" customFormat="1" ht="20.100000000000001" customHeight="1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6" s="1" customFormat="1" ht="20.100000000000001" customHeight="1" x14ac:dyDescent="0.25">
      <c r="A3" s="10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6" s="1" customFormat="1" ht="20.100000000000001" customHeight="1" x14ac:dyDescent="0.25">
      <c r="A4" s="10"/>
      <c r="B4" s="15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6" s="1" customFormat="1" ht="20.100000000000001" customHeight="1" x14ac:dyDescent="0.25">
      <c r="A5" s="10"/>
      <c r="B5" s="15"/>
      <c r="C5" s="44" t="s">
        <v>206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6" s="1" customFormat="1" ht="20.100000000000001" customHeight="1" x14ac:dyDescent="0.25">
      <c r="A6" s="10"/>
      <c r="B6" s="15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6" s="1" customFormat="1" ht="20.100000000000001" customHeight="1" thickBot="1" x14ac:dyDescent="0.3">
      <c r="A7" s="10"/>
      <c r="B7" s="15"/>
      <c r="C7" s="11"/>
      <c r="D7" s="12"/>
      <c r="E7" s="12"/>
      <c r="F7" s="12"/>
      <c r="G7" s="12"/>
      <c r="H7" s="12"/>
      <c r="I7" s="12"/>
      <c r="J7" s="12"/>
      <c r="K7" s="12"/>
      <c r="L7" s="12"/>
      <c r="M7" s="43"/>
    </row>
    <row r="8" spans="1:16" s="1" customFormat="1" ht="33.75" customHeight="1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126</v>
      </c>
    </row>
    <row r="9" spans="1:16" s="1" customFormat="1" ht="54.75" customHeight="1" x14ac:dyDescent="0.25">
      <c r="A9" s="262"/>
      <c r="B9" s="262"/>
      <c r="C9" s="262"/>
      <c r="D9" s="257"/>
      <c r="E9" s="87" t="s">
        <v>110</v>
      </c>
      <c r="F9" s="87" t="s">
        <v>111</v>
      </c>
      <c r="G9" s="87" t="s">
        <v>112</v>
      </c>
      <c r="H9" s="87" t="s">
        <v>113</v>
      </c>
      <c r="I9" s="87" t="s">
        <v>114</v>
      </c>
      <c r="J9" s="87" t="s">
        <v>115</v>
      </c>
      <c r="K9" s="257"/>
      <c r="L9" s="257" t="s">
        <v>0</v>
      </c>
      <c r="M9" s="257" t="s">
        <v>1</v>
      </c>
    </row>
    <row r="10" spans="1:16" s="47" customFormat="1" ht="24.95" customHeight="1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6" s="21" customFormat="1" ht="24.95" customHeight="1" thickBot="1" x14ac:dyDescent="0.3">
      <c r="A11" s="86" t="s">
        <v>2</v>
      </c>
      <c r="B11" s="48"/>
      <c r="C11" s="49" t="s">
        <v>3</v>
      </c>
      <c r="D11" s="50">
        <f>+D12+D66+D153</f>
        <v>79156720000</v>
      </c>
      <c r="E11" s="50">
        <f>E12+E66+E153</f>
        <v>0</v>
      </c>
      <c r="F11" s="50">
        <f t="shared" ref="F11:L11" si="0">+F12+F66+F153</f>
        <v>0</v>
      </c>
      <c r="G11" s="50">
        <f t="shared" si="0"/>
        <v>0</v>
      </c>
      <c r="H11" s="50">
        <f t="shared" si="0"/>
        <v>26045381060</v>
      </c>
      <c r="I11" s="50">
        <f t="shared" si="0"/>
        <v>26045381060</v>
      </c>
      <c r="J11" s="50">
        <f t="shared" ref="J11:J74" si="1">E11-F11-G11+H11-I11</f>
        <v>0</v>
      </c>
      <c r="K11" s="50">
        <f>+K12+K66+K153</f>
        <v>79156720000</v>
      </c>
      <c r="L11" s="50">
        <f t="shared" si="0"/>
        <v>74790210662.690002</v>
      </c>
      <c r="M11" s="51">
        <f>+L11/K11</f>
        <v>0.94483716180622446</v>
      </c>
      <c r="N11" s="52">
        <f>+K11-[1]Abril!D10</f>
        <v>8689949061</v>
      </c>
    </row>
    <row r="12" spans="1:16" s="27" customFormat="1" ht="24.95" customHeight="1" x14ac:dyDescent="0.25">
      <c r="A12" s="135">
        <v>1</v>
      </c>
      <c r="B12" s="129"/>
      <c r="C12" s="130" t="s">
        <v>4</v>
      </c>
      <c r="D12" s="132">
        <f t="shared" ref="D12:L12" si="2">+D13</f>
        <v>33125100000</v>
      </c>
      <c r="E12" s="132">
        <f t="shared" si="2"/>
        <v>0</v>
      </c>
      <c r="F12" s="132">
        <f t="shared" si="2"/>
        <v>0</v>
      </c>
      <c r="G12" s="132">
        <f t="shared" si="2"/>
        <v>0</v>
      </c>
      <c r="H12" s="132">
        <f t="shared" si="2"/>
        <v>17968953173</v>
      </c>
      <c r="I12" s="132">
        <f t="shared" si="2"/>
        <v>6443032173</v>
      </c>
      <c r="J12" s="132">
        <f t="shared" si="1"/>
        <v>11525921000</v>
      </c>
      <c r="K12" s="132">
        <f t="shared" si="2"/>
        <v>44651021000</v>
      </c>
      <c r="L12" s="132">
        <f t="shared" si="2"/>
        <v>43448926196</v>
      </c>
      <c r="M12" s="136">
        <f t="shared" ref="M12:M97" si="3">+L12/K12</f>
        <v>0.97307799962737695</v>
      </c>
      <c r="N12" s="112">
        <f>+K12-[1]Julio!D11</f>
        <v>-395949939</v>
      </c>
    </row>
    <row r="13" spans="1:16" s="27" customFormat="1" ht="24.95" customHeight="1" x14ac:dyDescent="0.25">
      <c r="A13" s="137">
        <v>10</v>
      </c>
      <c r="B13" s="108"/>
      <c r="C13" s="109" t="s">
        <v>4</v>
      </c>
      <c r="D13" s="16">
        <f>+D14+D44+D49</f>
        <v>33125100000</v>
      </c>
      <c r="E13" s="16">
        <f t="shared" ref="E13:L13" si="4">+E14+E44+E49</f>
        <v>0</v>
      </c>
      <c r="F13" s="16">
        <f t="shared" si="4"/>
        <v>0</v>
      </c>
      <c r="G13" s="16">
        <f t="shared" si="4"/>
        <v>0</v>
      </c>
      <c r="H13" s="16">
        <f t="shared" si="4"/>
        <v>17968953173</v>
      </c>
      <c r="I13" s="16">
        <f t="shared" si="4"/>
        <v>6443032173</v>
      </c>
      <c r="J13" s="16">
        <f t="shared" si="1"/>
        <v>11525921000</v>
      </c>
      <c r="K13" s="16">
        <f t="shared" si="4"/>
        <v>44651021000</v>
      </c>
      <c r="L13" s="16">
        <f t="shared" si="4"/>
        <v>43448926196</v>
      </c>
      <c r="M13" s="138">
        <f t="shared" si="3"/>
        <v>0.97307799962737695</v>
      </c>
      <c r="N13" s="112">
        <f>+K13-[1]Julio!D12</f>
        <v>-395949939</v>
      </c>
    </row>
    <row r="14" spans="1:16" s="27" customFormat="1" ht="37.5" customHeight="1" x14ac:dyDescent="0.25">
      <c r="A14" s="137">
        <v>101</v>
      </c>
      <c r="B14" s="108"/>
      <c r="C14" s="109" t="s">
        <v>5</v>
      </c>
      <c r="D14" s="16">
        <f t="shared" ref="D14:L14" si="5">+D15+D21+D26+D39+D40</f>
        <v>21910500000</v>
      </c>
      <c r="E14" s="16">
        <f t="shared" si="5"/>
        <v>0</v>
      </c>
      <c r="F14" s="16">
        <f t="shared" si="5"/>
        <v>0</v>
      </c>
      <c r="G14" s="16">
        <f t="shared" si="5"/>
        <v>0</v>
      </c>
      <c r="H14" s="16">
        <f t="shared" si="5"/>
        <v>3627435173</v>
      </c>
      <c r="I14" s="16">
        <f t="shared" si="5"/>
        <v>1961522173</v>
      </c>
      <c r="J14" s="16">
        <f t="shared" si="1"/>
        <v>1665913000</v>
      </c>
      <c r="K14" s="16">
        <f t="shared" si="5"/>
        <v>23576413000</v>
      </c>
      <c r="L14" s="16">
        <f t="shared" si="5"/>
        <v>22913487768</v>
      </c>
      <c r="M14" s="138">
        <f t="shared" si="3"/>
        <v>0.97188184513055487</v>
      </c>
      <c r="N14" s="112">
        <f>+K14-[1]Julio!D13</f>
        <v>-4302940000</v>
      </c>
      <c r="O14" s="29">
        <v>45647668331</v>
      </c>
      <c r="P14" s="113">
        <f>+O14-K13</f>
        <v>996647331</v>
      </c>
    </row>
    <row r="15" spans="1:16" s="27" customFormat="1" ht="24.95" customHeight="1" x14ac:dyDescent="0.25">
      <c r="A15" s="137">
        <v>1011</v>
      </c>
      <c r="B15" s="108"/>
      <c r="C15" s="109" t="s">
        <v>6</v>
      </c>
      <c r="D15" s="16">
        <f>+D17+D19+D20+D18+D16</f>
        <v>15785500000</v>
      </c>
      <c r="E15" s="16">
        <f t="shared" ref="E15:K15" si="6">+E17+E19+E20+E18+E16</f>
        <v>0</v>
      </c>
      <c r="F15" s="16">
        <f t="shared" si="6"/>
        <v>0</v>
      </c>
      <c r="G15" s="16">
        <f t="shared" si="6"/>
        <v>0</v>
      </c>
      <c r="H15" s="16">
        <f t="shared" si="6"/>
        <v>1859760060</v>
      </c>
      <c r="I15" s="16">
        <f t="shared" si="6"/>
        <v>464002060</v>
      </c>
      <c r="J15" s="16">
        <f t="shared" si="1"/>
        <v>1395758000</v>
      </c>
      <c r="K15" s="16">
        <f t="shared" si="6"/>
        <v>17181258000</v>
      </c>
      <c r="L15" s="16">
        <f>SUM(L16:L20)</f>
        <v>16879824304</v>
      </c>
      <c r="M15" s="138">
        <f t="shared" si="3"/>
        <v>0.98245566791442163</v>
      </c>
      <c r="N15" s="112">
        <f>+K15-[1]Julio!D14</f>
        <v>-2201716000</v>
      </c>
    </row>
    <row r="16" spans="1:16" s="27" customFormat="1" ht="24.95" customHeight="1" x14ac:dyDescent="0.25">
      <c r="A16" s="137">
        <v>10111</v>
      </c>
      <c r="B16" s="108">
        <v>10</v>
      </c>
      <c r="C16" s="109" t="s">
        <v>7</v>
      </c>
      <c r="D16" s="16">
        <v>0</v>
      </c>
      <c r="E16" s="16">
        <v>0</v>
      </c>
      <c r="F16" s="16">
        <v>0</v>
      </c>
      <c r="G16" s="16">
        <v>0</v>
      </c>
      <c r="H16" s="16">
        <v>339472060</v>
      </c>
      <c r="I16" s="16">
        <v>0</v>
      </c>
      <c r="J16" s="16">
        <f t="shared" si="1"/>
        <v>339472060</v>
      </c>
      <c r="K16" s="16">
        <f>D16+J16</f>
        <v>339472060</v>
      </c>
      <c r="L16" s="16">
        <v>339472060</v>
      </c>
      <c r="M16" s="138">
        <f>+L16/K16</f>
        <v>1</v>
      </c>
      <c r="N16" s="112"/>
    </row>
    <row r="17" spans="1:14" s="27" customFormat="1" ht="24.95" customHeight="1" x14ac:dyDescent="0.25">
      <c r="A17" s="137">
        <v>10111</v>
      </c>
      <c r="B17" s="108">
        <v>20</v>
      </c>
      <c r="C17" s="109" t="s">
        <v>7</v>
      </c>
      <c r="D17" s="16">
        <v>15282216323</v>
      </c>
      <c r="E17" s="16">
        <v>0</v>
      </c>
      <c r="F17" s="16">
        <v>0</v>
      </c>
      <c r="G17" s="16">
        <v>0</v>
      </c>
      <c r="H17" s="16">
        <v>918200000</v>
      </c>
      <c r="I17" s="16">
        <v>124530000</v>
      </c>
      <c r="J17" s="16">
        <f t="shared" si="1"/>
        <v>793670000</v>
      </c>
      <c r="K17" s="16">
        <f t="shared" ref="K17:K103" si="7">D17+J17</f>
        <v>16075886323</v>
      </c>
      <c r="L17" s="16">
        <v>16071852626</v>
      </c>
      <c r="M17" s="138">
        <f t="shared" si="3"/>
        <v>0.99974908400576157</v>
      </c>
      <c r="N17" s="112">
        <f>+K17-[1]Julio!D15</f>
        <v>-1330835864</v>
      </c>
    </row>
    <row r="18" spans="1:14" s="27" customFormat="1" ht="24.95" customHeight="1" x14ac:dyDescent="0.25">
      <c r="A18" s="137">
        <v>10112</v>
      </c>
      <c r="B18" s="108">
        <v>10</v>
      </c>
      <c r="C18" s="109" t="s">
        <v>8</v>
      </c>
      <c r="D18" s="16">
        <v>0</v>
      </c>
      <c r="E18" s="16">
        <v>0</v>
      </c>
      <c r="F18" s="16">
        <v>0</v>
      </c>
      <c r="G18" s="16">
        <v>0</v>
      </c>
      <c r="H18" s="16">
        <v>477558000</v>
      </c>
      <c r="I18" s="16">
        <v>339472060</v>
      </c>
      <c r="J18" s="16">
        <f t="shared" si="1"/>
        <v>138085940</v>
      </c>
      <c r="K18" s="16">
        <f t="shared" si="7"/>
        <v>138085940</v>
      </c>
      <c r="L18" s="16">
        <v>0</v>
      </c>
      <c r="M18" s="138">
        <f>+L18/K18</f>
        <v>0</v>
      </c>
      <c r="N18" s="112"/>
    </row>
    <row r="19" spans="1:14" s="27" customFormat="1" ht="24.95" customHeight="1" x14ac:dyDescent="0.25">
      <c r="A19" s="137">
        <v>10112</v>
      </c>
      <c r="B19" s="108">
        <v>20</v>
      </c>
      <c r="C19" s="109" t="s">
        <v>8</v>
      </c>
      <c r="D19" s="16">
        <v>473283677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f t="shared" si="1"/>
        <v>0</v>
      </c>
      <c r="K19" s="16">
        <f t="shared" si="7"/>
        <v>473283677</v>
      </c>
      <c r="L19" s="16">
        <v>380724696</v>
      </c>
      <c r="M19" s="138">
        <f t="shared" si="3"/>
        <v>0.80443234047980916</v>
      </c>
      <c r="N19" s="112">
        <f>+K19-[1]Julio!D16</f>
        <v>-766746564</v>
      </c>
    </row>
    <row r="20" spans="1:14" s="27" customFormat="1" ht="46.5" customHeight="1" x14ac:dyDescent="0.25">
      <c r="A20" s="137">
        <v>10114</v>
      </c>
      <c r="B20" s="108">
        <v>20</v>
      </c>
      <c r="C20" s="109" t="s">
        <v>9</v>
      </c>
      <c r="D20" s="16">
        <v>30000000</v>
      </c>
      <c r="E20" s="16">
        <v>0</v>
      </c>
      <c r="F20" s="16">
        <v>0</v>
      </c>
      <c r="G20" s="16">
        <v>0</v>
      </c>
      <c r="H20" s="16">
        <v>124530000</v>
      </c>
      <c r="I20" s="16">
        <v>0</v>
      </c>
      <c r="J20" s="16">
        <f t="shared" si="1"/>
        <v>124530000</v>
      </c>
      <c r="K20" s="16">
        <f>D20+J20</f>
        <v>154530000</v>
      </c>
      <c r="L20" s="16">
        <v>87774922</v>
      </c>
      <c r="M20" s="138">
        <f t="shared" si="3"/>
        <v>0.56801217886494537</v>
      </c>
      <c r="N20" s="112">
        <f>+K20-[1]Julio!D17</f>
        <v>-581691572</v>
      </c>
    </row>
    <row r="21" spans="1:14" s="27" customFormat="1" ht="24.95" customHeight="1" x14ac:dyDescent="0.25">
      <c r="A21" s="137">
        <v>1014</v>
      </c>
      <c r="B21" s="108"/>
      <c r="C21" s="109" t="s">
        <v>10</v>
      </c>
      <c r="D21" s="16">
        <f>+D25+D23+D22+D24</f>
        <v>2117300000</v>
      </c>
      <c r="E21" s="16">
        <f t="shared" ref="E21:I21" si="8">+E25+E23+E22+E24</f>
        <v>0</v>
      </c>
      <c r="F21" s="16">
        <f t="shared" si="8"/>
        <v>0</v>
      </c>
      <c r="G21" s="16">
        <f t="shared" si="8"/>
        <v>0</v>
      </c>
      <c r="H21" s="16">
        <f t="shared" si="8"/>
        <v>860871000</v>
      </c>
      <c r="I21" s="16">
        <f t="shared" si="8"/>
        <v>216140000</v>
      </c>
      <c r="J21" s="16">
        <f t="shared" si="1"/>
        <v>644731000</v>
      </c>
      <c r="K21" s="16">
        <f>D21+J21</f>
        <v>2762031000</v>
      </c>
      <c r="L21" s="16">
        <f>SUM(L22:L25)</f>
        <v>2680453990</v>
      </c>
      <c r="M21" s="138">
        <f>+L21/K21</f>
        <v>0.97046484633952335</v>
      </c>
      <c r="N21" s="112">
        <f>+K21-[1]Julio!D18</f>
        <v>-1174113000</v>
      </c>
    </row>
    <row r="22" spans="1:14" s="27" customFormat="1" ht="24.95" customHeight="1" x14ac:dyDescent="0.25">
      <c r="A22" s="137">
        <v>10141</v>
      </c>
      <c r="B22" s="108">
        <v>10</v>
      </c>
      <c r="C22" s="109" t="s">
        <v>162</v>
      </c>
      <c r="D22" s="16">
        <v>0</v>
      </c>
      <c r="E22" s="16">
        <v>0</v>
      </c>
      <c r="F22" s="16">
        <v>0</v>
      </c>
      <c r="G22" s="16">
        <v>0</v>
      </c>
      <c r="H22" s="16">
        <v>25957000</v>
      </c>
      <c r="I22" s="16">
        <v>0</v>
      </c>
      <c r="J22" s="16">
        <f t="shared" si="1"/>
        <v>25957000</v>
      </c>
      <c r="K22" s="16">
        <f>D22+J22</f>
        <v>25957000</v>
      </c>
      <c r="L22" s="16">
        <v>0</v>
      </c>
      <c r="M22" s="138">
        <f>+L22/K22</f>
        <v>0</v>
      </c>
      <c r="N22" s="112"/>
    </row>
    <row r="23" spans="1:14" s="27" customFormat="1" ht="24.95" customHeight="1" x14ac:dyDescent="0.25">
      <c r="A23" s="137">
        <v>10141</v>
      </c>
      <c r="B23" s="108">
        <v>20</v>
      </c>
      <c r="C23" s="109" t="s">
        <v>162</v>
      </c>
      <c r="D23" s="16">
        <v>72240000</v>
      </c>
      <c r="E23" s="16">
        <v>0</v>
      </c>
      <c r="F23" s="16">
        <v>0</v>
      </c>
      <c r="G23" s="16">
        <v>0</v>
      </c>
      <c r="H23" s="16">
        <v>84140000</v>
      </c>
      <c r="I23" s="16">
        <v>0</v>
      </c>
      <c r="J23" s="16">
        <f t="shared" si="1"/>
        <v>84140000</v>
      </c>
      <c r="K23" s="16">
        <f>D23+J23</f>
        <v>156380000</v>
      </c>
      <c r="L23" s="16">
        <v>146506223</v>
      </c>
      <c r="M23" s="138">
        <f t="shared" si="3"/>
        <v>0.93686035938099499</v>
      </c>
      <c r="N23" s="112"/>
    </row>
    <row r="24" spans="1:14" s="27" customFormat="1" ht="24.95" customHeight="1" x14ac:dyDescent="0.25">
      <c r="A24" s="137">
        <v>10142</v>
      </c>
      <c r="B24" s="108">
        <v>10</v>
      </c>
      <c r="C24" s="109" t="s">
        <v>11</v>
      </c>
      <c r="D24" s="16">
        <v>0</v>
      </c>
      <c r="E24" s="16">
        <v>0</v>
      </c>
      <c r="F24" s="16">
        <v>0</v>
      </c>
      <c r="G24" s="16">
        <v>0</v>
      </c>
      <c r="H24" s="16">
        <v>750774000</v>
      </c>
      <c r="I24" s="16">
        <v>132000000</v>
      </c>
      <c r="J24" s="16">
        <f t="shared" si="1"/>
        <v>618774000</v>
      </c>
      <c r="K24" s="16">
        <f t="shared" si="7"/>
        <v>618774000</v>
      </c>
      <c r="L24" s="16">
        <v>573364325</v>
      </c>
      <c r="M24" s="138">
        <f>+L24/K24</f>
        <v>0.92661347277034911</v>
      </c>
      <c r="N24" s="112"/>
    </row>
    <row r="25" spans="1:14" s="27" customFormat="1" ht="24.95" customHeight="1" x14ac:dyDescent="0.25">
      <c r="A25" s="137">
        <v>10142</v>
      </c>
      <c r="B25" s="108">
        <v>20</v>
      </c>
      <c r="C25" s="109" t="s">
        <v>11</v>
      </c>
      <c r="D25" s="16">
        <v>2045060000</v>
      </c>
      <c r="E25" s="16">
        <v>0</v>
      </c>
      <c r="F25" s="16">
        <v>0</v>
      </c>
      <c r="G25" s="16">
        <v>0</v>
      </c>
      <c r="H25" s="16">
        <v>0</v>
      </c>
      <c r="I25" s="16">
        <v>84140000</v>
      </c>
      <c r="J25" s="16">
        <f t="shared" si="1"/>
        <v>-84140000</v>
      </c>
      <c r="K25" s="16">
        <f>D25+J25</f>
        <v>1960920000</v>
      </c>
      <c r="L25" s="16">
        <v>1960583442</v>
      </c>
      <c r="M25" s="138">
        <f t="shared" si="3"/>
        <v>0.9998283672969831</v>
      </c>
      <c r="N25" s="112">
        <f>+K25-[1]Julio!D20</f>
        <v>-1610948656</v>
      </c>
    </row>
    <row r="26" spans="1:14" s="27" customFormat="1" ht="24.95" customHeight="1" x14ac:dyDescent="0.25">
      <c r="A26" s="137">
        <v>1015</v>
      </c>
      <c r="B26" s="108"/>
      <c r="C26" s="109" t="s">
        <v>12</v>
      </c>
      <c r="D26" s="16">
        <f>SUM(D27:D38)</f>
        <v>3089500000</v>
      </c>
      <c r="E26" s="16">
        <f t="shared" ref="E26:I26" si="9">SUM(E27:E38)</f>
        <v>0</v>
      </c>
      <c r="F26" s="16">
        <f t="shared" si="9"/>
        <v>0</v>
      </c>
      <c r="G26" s="16">
        <f t="shared" si="9"/>
        <v>0</v>
      </c>
      <c r="H26" s="16">
        <f t="shared" si="9"/>
        <v>570747177</v>
      </c>
      <c r="I26" s="16">
        <f t="shared" si="9"/>
        <v>354823177</v>
      </c>
      <c r="J26" s="16">
        <f t="shared" si="1"/>
        <v>215924000</v>
      </c>
      <c r="K26" s="16">
        <f t="shared" si="7"/>
        <v>3305424000</v>
      </c>
      <c r="L26" s="16">
        <f>SUM(L27:L38)</f>
        <v>3026933540</v>
      </c>
      <c r="M26" s="138">
        <f t="shared" si="3"/>
        <v>0.91574743209948251</v>
      </c>
      <c r="N26" s="112">
        <f>+K26-[1]Julio!D21</f>
        <v>-793209000</v>
      </c>
    </row>
    <row r="27" spans="1:14" s="27" customFormat="1" ht="36.75" customHeight="1" x14ac:dyDescent="0.25">
      <c r="A27" s="137">
        <v>10152</v>
      </c>
      <c r="B27" s="157">
        <v>10</v>
      </c>
      <c r="C27" s="109" t="s">
        <v>13</v>
      </c>
      <c r="D27" s="16">
        <v>0</v>
      </c>
      <c r="E27" s="16">
        <v>0</v>
      </c>
      <c r="F27" s="16">
        <v>0</v>
      </c>
      <c r="G27" s="16">
        <v>0</v>
      </c>
      <c r="H27" s="16">
        <v>112388000</v>
      </c>
      <c r="I27" s="16">
        <v>0</v>
      </c>
      <c r="J27" s="16">
        <f t="shared" si="1"/>
        <v>112388000</v>
      </c>
      <c r="K27" s="16">
        <f>D27+J27</f>
        <v>112388000</v>
      </c>
      <c r="L27" s="16">
        <v>47319502</v>
      </c>
      <c r="M27" s="138">
        <f>+L27/K27</f>
        <v>0.42103696124141365</v>
      </c>
      <c r="N27" s="112"/>
    </row>
    <row r="28" spans="1:14" s="27" customFormat="1" ht="36.75" customHeight="1" x14ac:dyDescent="0.25">
      <c r="A28" s="137">
        <v>10152</v>
      </c>
      <c r="B28" s="157">
        <v>20</v>
      </c>
      <c r="C28" s="109" t="s">
        <v>13</v>
      </c>
      <c r="D28" s="16">
        <v>401486604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f t="shared" si="1"/>
        <v>0</v>
      </c>
      <c r="K28" s="16">
        <f t="shared" si="7"/>
        <v>401486604</v>
      </c>
      <c r="L28" s="16">
        <v>401486604</v>
      </c>
      <c r="M28" s="138">
        <f t="shared" si="3"/>
        <v>1</v>
      </c>
      <c r="N28" s="112">
        <f>+K28-[1]Julio!D22</f>
        <v>-165023606</v>
      </c>
    </row>
    <row r="29" spans="1:14" s="27" customFormat="1" ht="36.75" customHeight="1" x14ac:dyDescent="0.25">
      <c r="A29" s="137">
        <v>10155</v>
      </c>
      <c r="B29" s="157">
        <v>10</v>
      </c>
      <c r="C29" s="109" t="s">
        <v>14</v>
      </c>
      <c r="D29" s="16">
        <v>0</v>
      </c>
      <c r="E29" s="16">
        <v>0</v>
      </c>
      <c r="F29" s="16">
        <v>0</v>
      </c>
      <c r="G29" s="16">
        <v>0</v>
      </c>
      <c r="H29" s="16">
        <v>9570000</v>
      </c>
      <c r="I29" s="16">
        <v>0</v>
      </c>
      <c r="J29" s="16">
        <f t="shared" si="1"/>
        <v>9570000</v>
      </c>
      <c r="K29" s="16">
        <f>D29+J29</f>
        <v>9570000</v>
      </c>
      <c r="L29" s="16">
        <v>0</v>
      </c>
      <c r="M29" s="138">
        <f>+L29/K29</f>
        <v>0</v>
      </c>
      <c r="N29" s="112"/>
    </row>
    <row r="30" spans="1:14" s="27" customFormat="1" ht="35.25" customHeight="1" x14ac:dyDescent="0.25">
      <c r="A30" s="137">
        <v>10155</v>
      </c>
      <c r="B30" s="157">
        <v>20</v>
      </c>
      <c r="C30" s="109" t="s">
        <v>14</v>
      </c>
      <c r="D30" s="16">
        <v>76957149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f t="shared" si="1"/>
        <v>0</v>
      </c>
      <c r="K30" s="16">
        <f t="shared" si="7"/>
        <v>76957149</v>
      </c>
      <c r="L30" s="16">
        <v>49072177</v>
      </c>
      <c r="M30" s="138">
        <f t="shared" si="3"/>
        <v>0.63765585962650462</v>
      </c>
      <c r="N30" s="112">
        <f>+K30-[1]Julio!D23</f>
        <v>-22026170</v>
      </c>
    </row>
    <row r="31" spans="1:14" s="27" customFormat="1" ht="24.95" customHeight="1" x14ac:dyDescent="0.25">
      <c r="A31" s="137">
        <v>101512</v>
      </c>
      <c r="B31" s="157">
        <v>20</v>
      </c>
      <c r="C31" s="109" t="s">
        <v>15</v>
      </c>
      <c r="D31" s="16">
        <v>575653</v>
      </c>
      <c r="E31" s="16">
        <v>0</v>
      </c>
      <c r="F31" s="16">
        <v>0</v>
      </c>
      <c r="G31" s="16">
        <v>0</v>
      </c>
      <c r="H31" s="16">
        <v>1020566</v>
      </c>
      <c r="I31" s="16">
        <v>0</v>
      </c>
      <c r="J31" s="16">
        <f t="shared" si="1"/>
        <v>1020566</v>
      </c>
      <c r="K31" s="16">
        <f t="shared" si="7"/>
        <v>1596219</v>
      </c>
      <c r="L31" s="16">
        <v>1451591</v>
      </c>
      <c r="M31" s="138">
        <f t="shared" si="3"/>
        <v>0.90939338524350355</v>
      </c>
      <c r="N31" s="112">
        <f>+K31-[1]Julio!D24</f>
        <v>-273381</v>
      </c>
    </row>
    <row r="32" spans="1:14" s="27" customFormat="1" ht="24.95" customHeight="1" x14ac:dyDescent="0.25">
      <c r="A32" s="137">
        <v>101514</v>
      </c>
      <c r="B32" s="157">
        <v>10</v>
      </c>
      <c r="C32" s="109" t="s">
        <v>16</v>
      </c>
      <c r="D32" s="16">
        <v>0</v>
      </c>
      <c r="E32" s="16">
        <v>0</v>
      </c>
      <c r="F32" s="16">
        <v>0</v>
      </c>
      <c r="G32" s="16">
        <v>0</v>
      </c>
      <c r="H32" s="16">
        <v>492651</v>
      </c>
      <c r="I32" s="16">
        <v>0</v>
      </c>
      <c r="J32" s="16">
        <f t="shared" si="1"/>
        <v>492651</v>
      </c>
      <c r="K32" s="16">
        <f>D32+J32</f>
        <v>492651</v>
      </c>
      <c r="L32" s="16">
        <v>492651</v>
      </c>
      <c r="M32" s="138">
        <f>+L32/K32</f>
        <v>1</v>
      </c>
      <c r="N32" s="112"/>
    </row>
    <row r="33" spans="1:16" s="27" customFormat="1" ht="24.95" customHeight="1" x14ac:dyDescent="0.25">
      <c r="A33" s="137">
        <v>101514</v>
      </c>
      <c r="B33" s="157">
        <v>20</v>
      </c>
      <c r="C33" s="109" t="s">
        <v>16</v>
      </c>
      <c r="D33" s="16">
        <v>452176298</v>
      </c>
      <c r="E33" s="16">
        <v>0</v>
      </c>
      <c r="F33" s="16">
        <v>0</v>
      </c>
      <c r="G33" s="16">
        <v>0</v>
      </c>
      <c r="H33" s="16">
        <f>85681000+15000000</f>
        <v>100681000</v>
      </c>
      <c r="I33" s="16">
        <v>0</v>
      </c>
      <c r="J33" s="16">
        <f t="shared" si="1"/>
        <v>100681000</v>
      </c>
      <c r="K33" s="16">
        <f t="shared" si="7"/>
        <v>552857298</v>
      </c>
      <c r="L33" s="16">
        <v>552857298</v>
      </c>
      <c r="M33" s="138">
        <f t="shared" si="3"/>
        <v>1</v>
      </c>
      <c r="N33" s="112">
        <f>+K33-[1]Julio!D25</f>
        <v>-296349153</v>
      </c>
    </row>
    <row r="34" spans="1:16" s="27" customFormat="1" ht="24.95" customHeight="1" x14ac:dyDescent="0.25">
      <c r="A34" s="137">
        <v>101515</v>
      </c>
      <c r="B34" s="157">
        <v>10</v>
      </c>
      <c r="C34" s="109" t="s">
        <v>17</v>
      </c>
      <c r="D34" s="16">
        <v>0</v>
      </c>
      <c r="E34" s="16">
        <v>0</v>
      </c>
      <c r="F34" s="16">
        <v>0</v>
      </c>
      <c r="G34" s="16">
        <v>0</v>
      </c>
      <c r="H34" s="16">
        <v>99184000</v>
      </c>
      <c r="I34" s="16">
        <v>99184000</v>
      </c>
      <c r="J34" s="16">
        <f t="shared" si="1"/>
        <v>0</v>
      </c>
      <c r="K34" s="16">
        <f>D34+J34</f>
        <v>0</v>
      </c>
      <c r="L34" s="16">
        <v>0</v>
      </c>
      <c r="M34" s="138" t="s">
        <v>155</v>
      </c>
      <c r="N34" s="112"/>
    </row>
    <row r="35" spans="1:16" s="27" customFormat="1" ht="24.95" customHeight="1" x14ac:dyDescent="0.25">
      <c r="A35" s="137">
        <v>101515</v>
      </c>
      <c r="B35" s="157">
        <v>20</v>
      </c>
      <c r="C35" s="109" t="s">
        <v>17</v>
      </c>
      <c r="D35" s="16">
        <v>618631479</v>
      </c>
      <c r="E35" s="16">
        <v>0</v>
      </c>
      <c r="F35" s="16">
        <v>0</v>
      </c>
      <c r="G35" s="16">
        <v>0</v>
      </c>
      <c r="H35" s="16">
        <v>0</v>
      </c>
      <c r="I35" s="16">
        <f>1020566+99516000</f>
        <v>100536566</v>
      </c>
      <c r="J35" s="16">
        <f t="shared" si="1"/>
        <v>-100536566</v>
      </c>
      <c r="K35" s="16">
        <f t="shared" si="7"/>
        <v>518094913</v>
      </c>
      <c r="L35" s="16">
        <v>392362034</v>
      </c>
      <c r="M35" s="138">
        <f t="shared" si="3"/>
        <v>0.75731690112155181</v>
      </c>
      <c r="N35" s="112">
        <f>+K35-[1]Julio!D26</f>
        <v>-196010644</v>
      </c>
    </row>
    <row r="36" spans="1:16" s="27" customFormat="1" ht="24.95" customHeight="1" x14ac:dyDescent="0.25">
      <c r="A36" s="137">
        <v>101516</v>
      </c>
      <c r="B36" s="157">
        <v>10</v>
      </c>
      <c r="C36" s="109" t="s">
        <v>18</v>
      </c>
      <c r="D36" s="16">
        <v>0</v>
      </c>
      <c r="E36" s="16">
        <v>0</v>
      </c>
      <c r="F36" s="16">
        <v>0</v>
      </c>
      <c r="G36" s="16">
        <v>0</v>
      </c>
      <c r="H36" s="16">
        <v>193482000</v>
      </c>
      <c r="I36" s="16">
        <v>492651</v>
      </c>
      <c r="J36" s="16">
        <f t="shared" si="1"/>
        <v>192989349</v>
      </c>
      <c r="K36" s="16">
        <f>D36+J36</f>
        <v>192989349</v>
      </c>
      <c r="L36" s="16">
        <v>143518307</v>
      </c>
      <c r="M36" s="138">
        <f>+L36/K36</f>
        <v>0.74365921095469367</v>
      </c>
      <c r="N36" s="112"/>
    </row>
    <row r="37" spans="1:16" s="27" customFormat="1" ht="24.95" customHeight="1" x14ac:dyDescent="0.25">
      <c r="A37" s="137">
        <v>101516</v>
      </c>
      <c r="B37" s="157">
        <v>20</v>
      </c>
      <c r="C37" s="109" t="s">
        <v>18</v>
      </c>
      <c r="D37" s="16">
        <v>1539672817</v>
      </c>
      <c r="E37" s="16">
        <v>0</v>
      </c>
      <c r="F37" s="16">
        <v>0</v>
      </c>
      <c r="G37" s="16">
        <v>0</v>
      </c>
      <c r="H37" s="16">
        <v>0</v>
      </c>
      <c r="I37" s="16">
        <f>85681000+53928960+15000000</f>
        <v>154609960</v>
      </c>
      <c r="J37" s="16">
        <f t="shared" si="1"/>
        <v>-154609960</v>
      </c>
      <c r="K37" s="16">
        <f t="shared" si="7"/>
        <v>1385062857</v>
      </c>
      <c r="L37" s="16">
        <v>1384444416</v>
      </c>
      <c r="M37" s="138">
        <f t="shared" si="3"/>
        <v>0.99955349246651559</v>
      </c>
      <c r="N37" s="112">
        <f>+K37-[1]Julio!D27</f>
        <v>-423554626</v>
      </c>
    </row>
    <row r="38" spans="1:16" s="27" customFormat="1" ht="24.95" customHeight="1" x14ac:dyDescent="0.25">
      <c r="A38" s="137">
        <v>101592</v>
      </c>
      <c r="B38" s="157">
        <v>20</v>
      </c>
      <c r="C38" s="109" t="s">
        <v>19</v>
      </c>
      <c r="D38" s="16">
        <v>0</v>
      </c>
      <c r="E38" s="16">
        <v>0</v>
      </c>
      <c r="F38" s="16">
        <v>0</v>
      </c>
      <c r="G38" s="16">
        <v>0</v>
      </c>
      <c r="H38" s="16">
        <v>53928960</v>
      </c>
      <c r="I38" s="16">
        <v>0</v>
      </c>
      <c r="J38" s="16">
        <f t="shared" si="1"/>
        <v>53928960</v>
      </c>
      <c r="K38" s="16">
        <f t="shared" si="7"/>
        <v>53928960</v>
      </c>
      <c r="L38" s="16">
        <v>53928960</v>
      </c>
      <c r="M38" s="138">
        <f>+L38/K38</f>
        <v>1</v>
      </c>
      <c r="N38" s="112"/>
    </row>
    <row r="39" spans="1:16" s="27" customFormat="1" ht="41.25" customHeight="1" x14ac:dyDescent="0.25">
      <c r="A39" s="137">
        <v>10108</v>
      </c>
      <c r="B39" s="108">
        <v>20</v>
      </c>
      <c r="C39" s="109" t="s">
        <v>23</v>
      </c>
      <c r="D39" s="16">
        <v>918200000</v>
      </c>
      <c r="E39" s="16">
        <v>0</v>
      </c>
      <c r="F39" s="16">
        <v>0</v>
      </c>
      <c r="G39" s="16">
        <v>0</v>
      </c>
      <c r="H39" s="16">
        <v>0</v>
      </c>
      <c r="I39" s="16">
        <v>918200000</v>
      </c>
      <c r="J39" s="16">
        <f t="shared" si="1"/>
        <v>-918200000</v>
      </c>
      <c r="K39" s="16">
        <f t="shared" si="7"/>
        <v>0</v>
      </c>
      <c r="L39" s="16"/>
      <c r="M39" s="138" t="s">
        <v>155</v>
      </c>
      <c r="N39" s="112"/>
    </row>
    <row r="40" spans="1:16" s="27" customFormat="1" ht="41.25" customHeight="1" x14ac:dyDescent="0.25">
      <c r="A40" s="137">
        <v>1019</v>
      </c>
      <c r="B40" s="108"/>
      <c r="C40" s="109" t="s">
        <v>20</v>
      </c>
      <c r="D40" s="16">
        <f>SUM(D41:D43)</f>
        <v>0</v>
      </c>
      <c r="E40" s="16">
        <f t="shared" ref="E40:I40" si="10">SUM(E41:E43)</f>
        <v>0</v>
      </c>
      <c r="F40" s="16">
        <f t="shared" si="10"/>
        <v>0</v>
      </c>
      <c r="G40" s="16">
        <f t="shared" si="10"/>
        <v>0</v>
      </c>
      <c r="H40" s="16">
        <f t="shared" si="10"/>
        <v>336056936</v>
      </c>
      <c r="I40" s="16">
        <f t="shared" si="10"/>
        <v>8356936</v>
      </c>
      <c r="J40" s="16">
        <f t="shared" si="1"/>
        <v>327700000</v>
      </c>
      <c r="K40" s="16">
        <f>SUM(K41:K43)</f>
        <v>327700000</v>
      </c>
      <c r="L40" s="16">
        <f>SUM(L41:L43)</f>
        <v>326275934</v>
      </c>
      <c r="M40" s="138">
        <f t="shared" si="3"/>
        <v>0.9956543606957583</v>
      </c>
      <c r="N40" s="112">
        <f>+K40-[1]Julio!D31</f>
        <v>-133902000</v>
      </c>
    </row>
    <row r="41" spans="1:16" s="27" customFormat="1" ht="24.95" customHeight="1" x14ac:dyDescent="0.25">
      <c r="A41" s="137">
        <v>10191</v>
      </c>
      <c r="B41" s="108">
        <v>20</v>
      </c>
      <c r="C41" s="109" t="s">
        <v>21</v>
      </c>
      <c r="D41" s="16">
        <v>0</v>
      </c>
      <c r="E41" s="16">
        <v>0</v>
      </c>
      <c r="F41" s="16">
        <v>0</v>
      </c>
      <c r="G41" s="16">
        <v>0</v>
      </c>
      <c r="H41" s="16">
        <f>85000000+8356936</f>
        <v>93356936</v>
      </c>
      <c r="I41" s="16">
        <v>0</v>
      </c>
      <c r="J41" s="16">
        <f t="shared" si="1"/>
        <v>93356936</v>
      </c>
      <c r="K41" s="16">
        <f t="shared" si="7"/>
        <v>93356936</v>
      </c>
      <c r="L41" s="16">
        <v>93356936</v>
      </c>
      <c r="M41" s="138">
        <f t="shared" si="3"/>
        <v>1</v>
      </c>
      <c r="N41" s="112">
        <f>+K41-[1]Julio!D32</f>
        <v>-17585064</v>
      </c>
    </row>
    <row r="42" spans="1:16" s="27" customFormat="1" ht="24.95" customHeight="1" x14ac:dyDescent="0.25">
      <c r="A42" s="137">
        <v>10193</v>
      </c>
      <c r="B42" s="108">
        <v>10</v>
      </c>
      <c r="C42" s="109" t="s">
        <v>22</v>
      </c>
      <c r="D42" s="31"/>
      <c r="E42" s="16">
        <v>0</v>
      </c>
      <c r="F42" s="16">
        <v>0</v>
      </c>
      <c r="G42" s="16">
        <v>0</v>
      </c>
      <c r="H42" s="16">
        <v>33184000</v>
      </c>
      <c r="I42" s="16">
        <v>0</v>
      </c>
      <c r="J42" s="16">
        <f t="shared" si="1"/>
        <v>33184000</v>
      </c>
      <c r="K42" s="16">
        <f t="shared" si="7"/>
        <v>33184000</v>
      </c>
      <c r="L42" s="16">
        <v>31763791</v>
      </c>
      <c r="M42" s="138">
        <f>+L42/K42</f>
        <v>0.95720199493731917</v>
      </c>
      <c r="N42" s="112"/>
    </row>
    <row r="43" spans="1:16" s="27" customFormat="1" ht="24.95" customHeight="1" x14ac:dyDescent="0.25">
      <c r="A43" s="137">
        <v>10193</v>
      </c>
      <c r="B43" s="108">
        <v>20</v>
      </c>
      <c r="C43" s="109" t="s">
        <v>22</v>
      </c>
      <c r="D43" s="16">
        <v>0</v>
      </c>
      <c r="E43" s="16">
        <v>0</v>
      </c>
      <c r="F43" s="16">
        <v>0</v>
      </c>
      <c r="G43" s="16">
        <v>0</v>
      </c>
      <c r="H43" s="16">
        <f>110000000+99516000</f>
        <v>209516000</v>
      </c>
      <c r="I43" s="16">
        <v>8356936</v>
      </c>
      <c r="J43" s="16">
        <f t="shared" si="1"/>
        <v>201159064</v>
      </c>
      <c r="K43" s="16">
        <f t="shared" si="7"/>
        <v>201159064</v>
      </c>
      <c r="L43" s="16">
        <v>201155207</v>
      </c>
      <c r="M43" s="138">
        <f t="shared" si="3"/>
        <v>0.99998082611877737</v>
      </c>
      <c r="N43" s="112">
        <f>+K43-[1]Julio!D33</f>
        <v>-149500936</v>
      </c>
    </row>
    <row r="44" spans="1:16" s="27" customFormat="1" ht="24.95" customHeight="1" x14ac:dyDescent="0.25">
      <c r="A44" s="137">
        <v>102</v>
      </c>
      <c r="B44" s="108"/>
      <c r="C44" s="109" t="s">
        <v>24</v>
      </c>
      <c r="D44" s="16">
        <f>SUM(D45:D48)</f>
        <v>4735900000</v>
      </c>
      <c r="E44" s="16">
        <f t="shared" ref="E44:I44" si="11">SUM(E45:E48)</f>
        <v>0</v>
      </c>
      <c r="F44" s="16">
        <f t="shared" si="11"/>
        <v>0</v>
      </c>
      <c r="G44" s="16">
        <f t="shared" si="11"/>
        <v>0</v>
      </c>
      <c r="H44" s="16">
        <f t="shared" si="11"/>
        <v>13359520000</v>
      </c>
      <c r="I44" s="16">
        <f t="shared" si="11"/>
        <v>4113510000</v>
      </c>
      <c r="J44" s="16">
        <f t="shared" si="1"/>
        <v>9246010000</v>
      </c>
      <c r="K44" s="16">
        <f>D44+J44</f>
        <v>13981910000</v>
      </c>
      <c r="L44" s="16">
        <f>SUM(L45:L48)</f>
        <v>13551688044</v>
      </c>
      <c r="M44" s="138">
        <f t="shared" si="3"/>
        <v>0.96923010118073993</v>
      </c>
      <c r="N44" s="112">
        <f>+K44-[1]Julio!D34</f>
        <v>4943984061</v>
      </c>
    </row>
    <row r="45" spans="1:16" s="27" customFormat="1" ht="24.95" customHeight="1" x14ac:dyDescent="0.25">
      <c r="A45" s="137">
        <v>10212</v>
      </c>
      <c r="B45" s="108">
        <v>10</v>
      </c>
      <c r="C45" s="109" t="s">
        <v>25</v>
      </c>
      <c r="D45" s="16">
        <v>0</v>
      </c>
      <c r="E45" s="16">
        <v>0</v>
      </c>
      <c r="F45" s="16">
        <v>0</v>
      </c>
      <c r="G45" s="16">
        <v>0</v>
      </c>
      <c r="H45" s="16">
        <f>1716400000+173400000</f>
        <v>1889800000</v>
      </c>
      <c r="I45" s="16">
        <v>1380000000</v>
      </c>
      <c r="J45" s="16">
        <f t="shared" si="1"/>
        <v>509800000</v>
      </c>
      <c r="K45" s="16">
        <f>D45+J45</f>
        <v>509800000</v>
      </c>
      <c r="L45" s="16">
        <v>509600000</v>
      </c>
      <c r="M45" s="138">
        <f>+L45/K45</f>
        <v>0.99960768928991761</v>
      </c>
      <c r="N45" s="112"/>
    </row>
    <row r="46" spans="1:16" s="27" customFormat="1" ht="24.95" customHeight="1" x14ac:dyDescent="0.25">
      <c r="A46" s="137">
        <v>10212</v>
      </c>
      <c r="B46" s="108">
        <v>20</v>
      </c>
      <c r="C46" s="109" t="s">
        <v>25</v>
      </c>
      <c r="D46" s="16">
        <v>800000000</v>
      </c>
      <c r="E46" s="16">
        <v>0</v>
      </c>
      <c r="F46" s="16">
        <v>0</v>
      </c>
      <c r="G46" s="16">
        <v>0</v>
      </c>
      <c r="H46" s="16">
        <f>5066000000+4000000</f>
        <v>5070000000</v>
      </c>
      <c r="I46" s="16">
        <v>1546160000</v>
      </c>
      <c r="J46" s="16">
        <f t="shared" si="1"/>
        <v>3523840000</v>
      </c>
      <c r="K46" s="16">
        <f t="shared" si="7"/>
        <v>4323840000</v>
      </c>
      <c r="L46" s="16">
        <v>4231534069</v>
      </c>
      <c r="M46" s="138">
        <f t="shared" si="3"/>
        <v>0.97865186246484603</v>
      </c>
      <c r="N46" s="112">
        <f>+K46-[1]Julio!D35</f>
        <v>3878170569</v>
      </c>
    </row>
    <row r="47" spans="1:16" s="27" customFormat="1" ht="24.95" customHeight="1" x14ac:dyDescent="0.25">
      <c r="A47" s="137">
        <v>10214</v>
      </c>
      <c r="B47" s="108">
        <v>10</v>
      </c>
      <c r="C47" s="109" t="s">
        <v>26</v>
      </c>
      <c r="D47" s="16">
        <v>0</v>
      </c>
      <c r="E47" s="16">
        <v>0</v>
      </c>
      <c r="F47" s="16">
        <v>0</v>
      </c>
      <c r="G47" s="16">
        <v>0</v>
      </c>
      <c r="H47" s="16">
        <f>2307600000+1380000000</f>
        <v>3687600000</v>
      </c>
      <c r="I47" s="16">
        <f>173400000+565000000+444950000</f>
        <v>1183350000</v>
      </c>
      <c r="J47" s="16">
        <f t="shared" si="1"/>
        <v>2504250000</v>
      </c>
      <c r="K47" s="16">
        <f>D47+J47</f>
        <v>2504250000</v>
      </c>
      <c r="L47" s="16">
        <v>2227887863</v>
      </c>
      <c r="M47" s="138">
        <f>+L47/K47</f>
        <v>0.88964275252071479</v>
      </c>
      <c r="N47" s="112"/>
      <c r="P47" s="113"/>
    </row>
    <row r="48" spans="1:16" s="27" customFormat="1" ht="24.95" customHeight="1" x14ac:dyDescent="0.25">
      <c r="A48" s="137">
        <v>10214</v>
      </c>
      <c r="B48" s="108">
        <v>20</v>
      </c>
      <c r="C48" s="109" t="s">
        <v>26</v>
      </c>
      <c r="D48" s="16">
        <v>3935900000</v>
      </c>
      <c r="E48" s="16">
        <v>0</v>
      </c>
      <c r="F48" s="16">
        <v>0</v>
      </c>
      <c r="G48" s="16">
        <v>0</v>
      </c>
      <c r="H48" s="16">
        <f>1165960000+1546160000</f>
        <v>2712120000</v>
      </c>
      <c r="I48" s="16">
        <v>4000000</v>
      </c>
      <c r="J48" s="16">
        <f t="shared" si="1"/>
        <v>2708120000</v>
      </c>
      <c r="K48" s="16">
        <f t="shared" si="7"/>
        <v>6644020000</v>
      </c>
      <c r="L48" s="16">
        <v>6582666112</v>
      </c>
      <c r="M48" s="138">
        <f t="shared" si="3"/>
        <v>0.99076554736439681</v>
      </c>
      <c r="N48" s="112">
        <f>+K48-[1]Julio!D36</f>
        <v>-1948236508</v>
      </c>
      <c r="P48" s="113">
        <f>+M48-5329252337</f>
        <v>-5329252336.0092344</v>
      </c>
    </row>
    <row r="49" spans="1:14" s="27" customFormat="1" ht="45" customHeight="1" x14ac:dyDescent="0.25">
      <c r="A49" s="137">
        <v>105</v>
      </c>
      <c r="B49" s="108"/>
      <c r="C49" s="109" t="s">
        <v>27</v>
      </c>
      <c r="D49" s="16">
        <f>+D50+D56+D63+D65+D62+D64</f>
        <v>6478700000</v>
      </c>
      <c r="E49" s="16">
        <f t="shared" ref="E49:K49" si="12">+E50+E56+E63+E65+E62+E64</f>
        <v>0</v>
      </c>
      <c r="F49" s="16">
        <f t="shared" si="12"/>
        <v>0</v>
      </c>
      <c r="G49" s="16">
        <f t="shared" si="12"/>
        <v>0</v>
      </c>
      <c r="H49" s="16">
        <f t="shared" si="12"/>
        <v>981998000</v>
      </c>
      <c r="I49" s="16">
        <f t="shared" si="12"/>
        <v>368000000</v>
      </c>
      <c r="J49" s="16">
        <f t="shared" si="1"/>
        <v>613998000</v>
      </c>
      <c r="K49" s="16">
        <f t="shared" si="12"/>
        <v>7092698000</v>
      </c>
      <c r="L49" s="16">
        <f>+L50+L56+L63+L65+L62+L64</f>
        <v>6983750384</v>
      </c>
      <c r="M49" s="138">
        <f t="shared" si="3"/>
        <v>0.98463946780195633</v>
      </c>
      <c r="N49" s="112">
        <f>+K49-8124200000</f>
        <v>-1031502000</v>
      </c>
    </row>
    <row r="50" spans="1:14" s="27" customFormat="1" ht="45" customHeight="1" x14ac:dyDescent="0.25">
      <c r="A50" s="137">
        <v>1051</v>
      </c>
      <c r="B50" s="108"/>
      <c r="C50" s="109" t="s">
        <v>28</v>
      </c>
      <c r="D50" s="16">
        <f>+D52+D53+D55+D51+D54</f>
        <v>3601837328</v>
      </c>
      <c r="E50" s="16">
        <f t="shared" ref="E50:I50" si="13">+E52+E53+E55+E51+E54</f>
        <v>0</v>
      </c>
      <c r="F50" s="16">
        <f t="shared" si="13"/>
        <v>0</v>
      </c>
      <c r="G50" s="16">
        <f t="shared" si="13"/>
        <v>0</v>
      </c>
      <c r="H50" s="16">
        <f t="shared" si="13"/>
        <v>405285000</v>
      </c>
      <c r="I50" s="16">
        <f t="shared" si="13"/>
        <v>248000000</v>
      </c>
      <c r="J50" s="16">
        <f t="shared" si="1"/>
        <v>157285000</v>
      </c>
      <c r="K50" s="16">
        <f>D50+J50</f>
        <v>3759122328</v>
      </c>
      <c r="L50" s="16">
        <f>SUM(L51:L55)</f>
        <v>3706379172</v>
      </c>
      <c r="M50" s="138">
        <f t="shared" si="3"/>
        <v>0.98596928979747744</v>
      </c>
      <c r="N50" s="112">
        <f>+K50-[1]Julio!D38</f>
        <v>-408759698</v>
      </c>
    </row>
    <row r="51" spans="1:14" s="27" customFormat="1" ht="24.95" customHeight="1" x14ac:dyDescent="0.25">
      <c r="A51" s="137">
        <v>10511</v>
      </c>
      <c r="B51" s="108">
        <v>10</v>
      </c>
      <c r="C51" s="109" t="s">
        <v>29</v>
      </c>
      <c r="D51" s="16">
        <v>0</v>
      </c>
      <c r="E51" s="16">
        <v>0</v>
      </c>
      <c r="F51" s="16">
        <v>0</v>
      </c>
      <c r="G51" s="16">
        <v>0</v>
      </c>
      <c r="H51" s="16">
        <v>173285000</v>
      </c>
      <c r="I51" s="16">
        <v>0</v>
      </c>
      <c r="J51" s="16">
        <f t="shared" si="1"/>
        <v>173285000</v>
      </c>
      <c r="K51" s="16">
        <f>D51+J51</f>
        <v>173285000</v>
      </c>
      <c r="L51" s="16">
        <v>173285000</v>
      </c>
      <c r="M51" s="138">
        <f>+L51/K51</f>
        <v>1</v>
      </c>
      <c r="N51" s="112"/>
    </row>
    <row r="52" spans="1:14" s="27" customFormat="1" ht="24.95" customHeight="1" x14ac:dyDescent="0.25">
      <c r="A52" s="137">
        <v>10511</v>
      </c>
      <c r="B52" s="108">
        <v>20</v>
      </c>
      <c r="C52" s="109" t="s">
        <v>29</v>
      </c>
      <c r="D52" s="16">
        <v>405370929</v>
      </c>
      <c r="E52" s="16">
        <v>0</v>
      </c>
      <c r="F52" s="16">
        <v>0</v>
      </c>
      <c r="G52" s="16">
        <v>0</v>
      </c>
      <c r="H52" s="16">
        <f>78000000+76000000</f>
        <v>154000000</v>
      </c>
      <c r="I52" s="16">
        <v>0</v>
      </c>
      <c r="J52" s="16">
        <f t="shared" si="1"/>
        <v>154000000</v>
      </c>
      <c r="K52" s="16">
        <f t="shared" si="7"/>
        <v>559370929</v>
      </c>
      <c r="L52" s="16">
        <v>556582961</v>
      </c>
      <c r="M52" s="138">
        <f t="shared" si="3"/>
        <v>0.99501588685528564</v>
      </c>
      <c r="N52" s="112">
        <f>+K52-[1]Julio!D39</f>
        <v>-328774510</v>
      </c>
    </row>
    <row r="53" spans="1:14" s="27" customFormat="1" ht="36" customHeight="1" x14ac:dyDescent="0.25">
      <c r="A53" s="137">
        <v>10513</v>
      </c>
      <c r="B53" s="108">
        <v>20</v>
      </c>
      <c r="C53" s="109" t="s">
        <v>30</v>
      </c>
      <c r="D53" s="16">
        <v>1636160091</v>
      </c>
      <c r="E53" s="16">
        <v>0</v>
      </c>
      <c r="F53" s="16">
        <v>0</v>
      </c>
      <c r="G53" s="16">
        <v>0</v>
      </c>
      <c r="H53" s="16">
        <v>0</v>
      </c>
      <c r="I53" s="16">
        <v>120000000</v>
      </c>
      <c r="J53" s="16">
        <f t="shared" si="1"/>
        <v>-120000000</v>
      </c>
      <c r="K53" s="16">
        <f t="shared" si="7"/>
        <v>1516160091</v>
      </c>
      <c r="L53" s="16">
        <v>1491578341</v>
      </c>
      <c r="M53" s="138">
        <f t="shared" si="3"/>
        <v>0.98378683745475271</v>
      </c>
      <c r="N53" s="112">
        <f>+K53-[1]Julio!D40</f>
        <v>-198491134</v>
      </c>
    </row>
    <row r="54" spans="1:14" s="27" customFormat="1" ht="36" customHeight="1" x14ac:dyDescent="0.25">
      <c r="A54" s="137">
        <v>10514</v>
      </c>
      <c r="B54" s="108">
        <v>10</v>
      </c>
      <c r="C54" s="109" t="s">
        <v>31</v>
      </c>
      <c r="D54" s="16">
        <v>0</v>
      </c>
      <c r="E54" s="16">
        <v>0</v>
      </c>
      <c r="F54" s="16">
        <v>0</v>
      </c>
      <c r="G54" s="16">
        <v>0</v>
      </c>
      <c r="H54" s="16">
        <v>78000000</v>
      </c>
      <c r="I54" s="16">
        <v>0</v>
      </c>
      <c r="J54" s="16">
        <f t="shared" si="1"/>
        <v>78000000</v>
      </c>
      <c r="K54" s="16">
        <f>D54+J54</f>
        <v>78000000</v>
      </c>
      <c r="L54" s="16">
        <v>53138552</v>
      </c>
      <c r="M54" s="138">
        <f>+L54/K54</f>
        <v>0.68126348717948715</v>
      </c>
      <c r="N54" s="112"/>
    </row>
    <row r="55" spans="1:14" s="27" customFormat="1" ht="36" customHeight="1" x14ac:dyDescent="0.25">
      <c r="A55" s="137">
        <v>10514</v>
      </c>
      <c r="B55" s="108">
        <v>20</v>
      </c>
      <c r="C55" s="109" t="s">
        <v>31</v>
      </c>
      <c r="D55" s="16">
        <v>1560306308</v>
      </c>
      <c r="E55" s="16">
        <v>0</v>
      </c>
      <c r="F55" s="16">
        <v>0</v>
      </c>
      <c r="G55" s="16">
        <v>0</v>
      </c>
      <c r="H55" s="16">
        <v>0</v>
      </c>
      <c r="I55" s="16">
        <f>78000000+50000000</f>
        <v>128000000</v>
      </c>
      <c r="J55" s="16">
        <f t="shared" si="1"/>
        <v>-128000000</v>
      </c>
      <c r="K55" s="16">
        <f t="shared" si="7"/>
        <v>1432306308</v>
      </c>
      <c r="L55" s="16">
        <v>1431794318</v>
      </c>
      <c r="M55" s="138">
        <f t="shared" si="3"/>
        <v>0.99964254154496124</v>
      </c>
      <c r="N55" s="112">
        <f>+K55-[1]Julio!D41</f>
        <v>-132779054</v>
      </c>
    </row>
    <row r="56" spans="1:14" s="27" customFormat="1" ht="39.75" customHeight="1" x14ac:dyDescent="0.25">
      <c r="A56" s="137">
        <v>1052</v>
      </c>
      <c r="B56" s="108"/>
      <c r="C56" s="109" t="s">
        <v>32</v>
      </c>
      <c r="D56" s="16">
        <f>SUM(D57:D61)</f>
        <v>2197349805</v>
      </c>
      <c r="E56" s="16">
        <f>SUM(E57:E61)</f>
        <v>0</v>
      </c>
      <c r="F56" s="16">
        <f>SUM(F57:F61)</f>
        <v>0</v>
      </c>
      <c r="G56" s="16">
        <f t="shared" ref="G56" si="14">SUM(G57:G61)</f>
        <v>0</v>
      </c>
      <c r="H56" s="16">
        <f>SUM(H57:H61)</f>
        <v>303629000</v>
      </c>
      <c r="I56" s="16">
        <f>SUM(I57:I61)</f>
        <v>100000000</v>
      </c>
      <c r="J56" s="16">
        <f t="shared" si="1"/>
        <v>203629000</v>
      </c>
      <c r="K56" s="16">
        <f>D56+J56</f>
        <v>2400978805</v>
      </c>
      <c r="L56" s="16">
        <f>SUM(L57:L61)</f>
        <v>2365112189</v>
      </c>
      <c r="M56" s="138">
        <f t="shared" si="3"/>
        <v>0.98506166904709513</v>
      </c>
      <c r="N56" s="112">
        <f>+K56-[1]Julio!D42</f>
        <v>-477136792</v>
      </c>
    </row>
    <row r="57" spans="1:14" s="27" customFormat="1" ht="24.95" customHeight="1" x14ac:dyDescent="0.25">
      <c r="A57" s="137">
        <v>10522</v>
      </c>
      <c r="B57" s="108">
        <v>10</v>
      </c>
      <c r="C57" s="109" t="s">
        <v>33</v>
      </c>
      <c r="D57" s="16"/>
      <c r="E57" s="16">
        <v>0</v>
      </c>
      <c r="F57" s="16">
        <v>0</v>
      </c>
      <c r="G57" s="16">
        <v>0</v>
      </c>
      <c r="H57" s="16">
        <v>189265000</v>
      </c>
      <c r="I57" s="16">
        <v>100000000</v>
      </c>
      <c r="J57" s="16">
        <f t="shared" si="1"/>
        <v>89265000</v>
      </c>
      <c r="K57" s="16">
        <f>D57+J57</f>
        <v>89265000</v>
      </c>
      <c r="L57" s="16">
        <v>89265000</v>
      </c>
      <c r="M57" s="138">
        <f>+L57/K57</f>
        <v>1</v>
      </c>
      <c r="N57" s="112"/>
    </row>
    <row r="58" spans="1:14" s="27" customFormat="1" ht="24.95" customHeight="1" x14ac:dyDescent="0.25">
      <c r="A58" s="137">
        <v>10522</v>
      </c>
      <c r="B58" s="108">
        <v>20</v>
      </c>
      <c r="C58" s="109" t="s">
        <v>33</v>
      </c>
      <c r="D58" s="16">
        <v>1534903303</v>
      </c>
      <c r="E58" s="16">
        <v>0</v>
      </c>
      <c r="F58" s="16">
        <v>0</v>
      </c>
      <c r="G58" s="16">
        <v>0</v>
      </c>
      <c r="H58" s="16">
        <v>85000000</v>
      </c>
      <c r="I58" s="16">
        <v>0</v>
      </c>
      <c r="J58" s="16">
        <f t="shared" si="1"/>
        <v>85000000</v>
      </c>
      <c r="K58" s="16">
        <f t="shared" si="7"/>
        <v>1619903303</v>
      </c>
      <c r="L58" s="16">
        <v>1595391441</v>
      </c>
      <c r="M58" s="138">
        <f t="shared" si="3"/>
        <v>0.98486831778501538</v>
      </c>
      <c r="N58" s="112">
        <f>+K58-[1]Julio!D43</f>
        <v>-384173228</v>
      </c>
    </row>
    <row r="59" spans="1:14" s="27" customFormat="1" ht="39.75" customHeight="1" x14ac:dyDescent="0.25">
      <c r="A59" s="137">
        <v>10523</v>
      </c>
      <c r="B59" s="108">
        <v>10</v>
      </c>
      <c r="C59" s="109" t="s">
        <v>34</v>
      </c>
      <c r="D59" s="16">
        <v>0</v>
      </c>
      <c r="E59" s="16">
        <v>0</v>
      </c>
      <c r="F59" s="16">
        <v>0</v>
      </c>
      <c r="G59" s="16">
        <v>0</v>
      </c>
      <c r="H59" s="16">
        <f>364000+20000000</f>
        <v>20364000</v>
      </c>
      <c r="I59" s="16">
        <v>0</v>
      </c>
      <c r="J59" s="16">
        <f t="shared" si="1"/>
        <v>20364000</v>
      </c>
      <c r="K59" s="16">
        <f>D59+J59</f>
        <v>20364000</v>
      </c>
      <c r="L59" s="16">
        <v>20364000</v>
      </c>
      <c r="M59" s="138">
        <f>+L59/K59</f>
        <v>1</v>
      </c>
      <c r="N59" s="112"/>
    </row>
    <row r="60" spans="1:14" s="27" customFormat="1" ht="39.75" customHeight="1" x14ac:dyDescent="0.25">
      <c r="A60" s="137">
        <v>10523</v>
      </c>
      <c r="B60" s="108">
        <v>20</v>
      </c>
      <c r="C60" s="109" t="s">
        <v>34</v>
      </c>
      <c r="D60" s="16">
        <v>566625349</v>
      </c>
      <c r="E60" s="16">
        <v>0</v>
      </c>
      <c r="F60" s="16">
        <v>0</v>
      </c>
      <c r="G60" s="16">
        <v>0</v>
      </c>
      <c r="H60" s="16">
        <v>9000000</v>
      </c>
      <c r="I60" s="16">
        <v>0</v>
      </c>
      <c r="J60" s="16">
        <f t="shared" si="1"/>
        <v>9000000</v>
      </c>
      <c r="K60" s="16">
        <f t="shared" si="7"/>
        <v>575625349</v>
      </c>
      <c r="L60" s="16">
        <v>570811349</v>
      </c>
      <c r="M60" s="138">
        <f t="shared" si="3"/>
        <v>0.99163692146573623</v>
      </c>
      <c r="N60" s="112">
        <f>+K60-[1]Julio!D44</f>
        <v>-191568057</v>
      </c>
    </row>
    <row r="61" spans="1:14" s="27" customFormat="1" ht="77.25" customHeight="1" x14ac:dyDescent="0.25">
      <c r="A61" s="137">
        <v>10527</v>
      </c>
      <c r="B61" s="108">
        <v>20</v>
      </c>
      <c r="C61" s="109" t="s">
        <v>35</v>
      </c>
      <c r="D61" s="16">
        <v>95821153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f t="shared" si="1"/>
        <v>0</v>
      </c>
      <c r="K61" s="16">
        <f t="shared" si="7"/>
        <v>95821153</v>
      </c>
      <c r="L61" s="16">
        <v>89280399</v>
      </c>
      <c r="M61" s="138">
        <f>+L61/K61</f>
        <v>0.93173997812361953</v>
      </c>
      <c r="N61" s="112">
        <f>+K61-[1]Julio!D45</f>
        <v>-11024507</v>
      </c>
    </row>
    <row r="62" spans="1:14" s="27" customFormat="1" ht="24.95" customHeight="1" x14ac:dyDescent="0.25">
      <c r="A62" s="137">
        <v>1056</v>
      </c>
      <c r="B62" s="108">
        <v>10</v>
      </c>
      <c r="C62" s="109" t="s">
        <v>36</v>
      </c>
      <c r="D62" s="16">
        <v>0</v>
      </c>
      <c r="E62" s="16">
        <v>0</v>
      </c>
      <c r="F62" s="16">
        <v>0</v>
      </c>
      <c r="G62" s="16">
        <v>0</v>
      </c>
      <c r="H62" s="16">
        <v>183833000</v>
      </c>
      <c r="I62" s="16">
        <v>20000000</v>
      </c>
      <c r="J62" s="16">
        <f t="shared" si="1"/>
        <v>163833000</v>
      </c>
      <c r="K62" s="16">
        <f>D62+J62</f>
        <v>163833000</v>
      </c>
      <c r="L62" s="16">
        <v>159553501</v>
      </c>
      <c r="M62" s="138">
        <f>+L62/K62</f>
        <v>0.97387889497231939</v>
      </c>
      <c r="N62" s="112"/>
    </row>
    <row r="63" spans="1:14" s="27" customFormat="1" ht="24.95" customHeight="1" x14ac:dyDescent="0.25">
      <c r="A63" s="137">
        <v>1056</v>
      </c>
      <c r="B63" s="108">
        <v>20</v>
      </c>
      <c r="C63" s="109" t="s">
        <v>36</v>
      </c>
      <c r="D63" s="16">
        <v>387700824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f t="shared" si="1"/>
        <v>0</v>
      </c>
      <c r="K63" s="16">
        <f t="shared" si="7"/>
        <v>387700824</v>
      </c>
      <c r="L63" s="16">
        <v>387700824</v>
      </c>
      <c r="M63" s="138">
        <f t="shared" si="3"/>
        <v>1</v>
      </c>
      <c r="N63" s="112">
        <f>+K63-[1]Julio!D46</f>
        <v>-251920851</v>
      </c>
    </row>
    <row r="64" spans="1:14" s="27" customFormat="1" ht="24.95" customHeight="1" x14ac:dyDescent="0.25">
      <c r="A64" s="137">
        <v>1057</v>
      </c>
      <c r="B64" s="108">
        <v>10</v>
      </c>
      <c r="C64" s="109" t="s">
        <v>37</v>
      </c>
      <c r="D64" s="16">
        <v>0</v>
      </c>
      <c r="E64" s="16">
        <v>0</v>
      </c>
      <c r="F64" s="16">
        <v>0</v>
      </c>
      <c r="G64" s="16">
        <v>0</v>
      </c>
      <c r="H64" s="16">
        <v>89251000</v>
      </c>
      <c r="I64" s="16">
        <v>0</v>
      </c>
      <c r="J64" s="16">
        <f t="shared" si="1"/>
        <v>89251000</v>
      </c>
      <c r="K64" s="16">
        <f>D64+J64</f>
        <v>89251000</v>
      </c>
      <c r="L64" s="16">
        <v>73192655</v>
      </c>
      <c r="M64" s="138">
        <f>+L64/K64</f>
        <v>0.8200765817749941</v>
      </c>
      <c r="N64" s="112"/>
    </row>
    <row r="65" spans="1:51" s="27" customFormat="1" ht="24.95" customHeight="1" x14ac:dyDescent="0.25">
      <c r="A65" s="137">
        <v>1057</v>
      </c>
      <c r="B65" s="108">
        <v>20</v>
      </c>
      <c r="C65" s="109" t="s">
        <v>37</v>
      </c>
      <c r="D65" s="16">
        <v>291812043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f t="shared" si="1"/>
        <v>0</v>
      </c>
      <c r="K65" s="16">
        <f t="shared" si="7"/>
        <v>291812043</v>
      </c>
      <c r="L65" s="16">
        <v>291812043</v>
      </c>
      <c r="M65" s="138">
        <f t="shared" si="3"/>
        <v>1</v>
      </c>
      <c r="N65" s="112">
        <f>+K65-[1]Julio!D47</f>
        <v>-152260659</v>
      </c>
    </row>
    <row r="66" spans="1:51" s="27" customFormat="1" ht="24.95" customHeight="1" x14ac:dyDescent="0.25">
      <c r="A66" s="137">
        <v>2</v>
      </c>
      <c r="B66" s="108"/>
      <c r="C66" s="109" t="s">
        <v>38</v>
      </c>
      <c r="D66" s="16">
        <f>+D67</f>
        <v>7719400000</v>
      </c>
      <c r="E66" s="16">
        <f t="shared" ref="E66:I66" si="15">+E67</f>
        <v>0</v>
      </c>
      <c r="F66" s="16">
        <f t="shared" si="15"/>
        <v>0</v>
      </c>
      <c r="G66" s="16">
        <f t="shared" si="15"/>
        <v>0</v>
      </c>
      <c r="H66" s="16">
        <f t="shared" si="15"/>
        <v>5227477887</v>
      </c>
      <c r="I66" s="16">
        <f t="shared" si="15"/>
        <v>3175388887</v>
      </c>
      <c r="J66" s="16">
        <f t="shared" si="1"/>
        <v>2052089000</v>
      </c>
      <c r="K66" s="16">
        <f>K67</f>
        <v>9771489000</v>
      </c>
      <c r="L66" s="16">
        <f>+L67</f>
        <v>9221323964.6900005</v>
      </c>
      <c r="M66" s="138">
        <f t="shared" si="3"/>
        <v>0.94369690890405755</v>
      </c>
      <c r="N66" s="112">
        <f>+K66-[1]Julio!D57</f>
        <v>334489000</v>
      </c>
      <c r="AY66" s="113"/>
    </row>
    <row r="67" spans="1:51" s="27" customFormat="1" ht="24.95" customHeight="1" x14ac:dyDescent="0.25">
      <c r="A67" s="137">
        <v>20</v>
      </c>
      <c r="B67" s="108"/>
      <c r="C67" s="109" t="s">
        <v>38</v>
      </c>
      <c r="D67" s="16">
        <f>+D68+D72</f>
        <v>7719400000</v>
      </c>
      <c r="E67" s="16">
        <f t="shared" ref="E67:I67" si="16">+E68+E72</f>
        <v>0</v>
      </c>
      <c r="F67" s="16">
        <f t="shared" si="16"/>
        <v>0</v>
      </c>
      <c r="G67" s="16">
        <f t="shared" si="16"/>
        <v>0</v>
      </c>
      <c r="H67" s="16">
        <f t="shared" si="16"/>
        <v>5227477887</v>
      </c>
      <c r="I67" s="16">
        <f t="shared" si="16"/>
        <v>3175388887</v>
      </c>
      <c r="J67" s="16">
        <f t="shared" si="1"/>
        <v>2052089000</v>
      </c>
      <c r="K67" s="16">
        <f>K68+K72</f>
        <v>9771489000</v>
      </c>
      <c r="L67" s="16">
        <f>+L68+L72</f>
        <v>9221323964.6900005</v>
      </c>
      <c r="M67" s="138">
        <f t="shared" si="3"/>
        <v>0.94369690890405755</v>
      </c>
      <c r="N67" s="112">
        <f>+K67-[1]Julio!D58</f>
        <v>334489000</v>
      </c>
    </row>
    <row r="68" spans="1:51" s="27" customFormat="1" ht="24.95" customHeight="1" x14ac:dyDescent="0.25">
      <c r="A68" s="137">
        <v>203</v>
      </c>
      <c r="B68" s="108"/>
      <c r="C68" s="109" t="s">
        <v>39</v>
      </c>
      <c r="D68" s="16">
        <f>+D69</f>
        <v>17400000</v>
      </c>
      <c r="E68" s="16">
        <f t="shared" ref="E68:I68" si="17">+E69</f>
        <v>0</v>
      </c>
      <c r="F68" s="16">
        <f t="shared" si="17"/>
        <v>0</v>
      </c>
      <c r="G68" s="16">
        <f t="shared" si="17"/>
        <v>0</v>
      </c>
      <c r="H68" s="16">
        <f t="shared" si="17"/>
        <v>0</v>
      </c>
      <c r="I68" s="16">
        <f t="shared" si="17"/>
        <v>0</v>
      </c>
      <c r="J68" s="16">
        <f t="shared" si="1"/>
        <v>0</v>
      </c>
      <c r="K68" s="16">
        <f>D68+J68</f>
        <v>17400000</v>
      </c>
      <c r="L68" s="16">
        <f t="shared" ref="L68" si="18">+L69</f>
        <v>750992</v>
      </c>
      <c r="M68" s="138">
        <f t="shared" si="3"/>
        <v>4.3160459770114942E-2</v>
      </c>
      <c r="N68" s="112">
        <f>+K68-[1]Julio!D59</f>
        <v>-500000</v>
      </c>
    </row>
    <row r="69" spans="1:51" s="27" customFormat="1" ht="24.95" customHeight="1" x14ac:dyDescent="0.25">
      <c r="A69" s="137">
        <v>20350</v>
      </c>
      <c r="B69" s="108"/>
      <c r="C69" s="109" t="s">
        <v>40</v>
      </c>
      <c r="D69" s="16">
        <f t="shared" ref="D69:I69" si="19">+D70+D71</f>
        <v>17400000</v>
      </c>
      <c r="E69" s="16">
        <f t="shared" si="19"/>
        <v>0</v>
      </c>
      <c r="F69" s="16">
        <f t="shared" si="19"/>
        <v>0</v>
      </c>
      <c r="G69" s="16">
        <f t="shared" si="19"/>
        <v>0</v>
      </c>
      <c r="H69" s="16">
        <f t="shared" si="19"/>
        <v>0</v>
      </c>
      <c r="I69" s="16">
        <f t="shared" si="19"/>
        <v>0</v>
      </c>
      <c r="J69" s="16">
        <f t="shared" si="1"/>
        <v>0</v>
      </c>
      <c r="K69" s="16">
        <f>D69+J69</f>
        <v>17400000</v>
      </c>
      <c r="L69" s="16">
        <f t="shared" ref="L69" si="20">+L70+L71</f>
        <v>750992</v>
      </c>
      <c r="M69" s="138">
        <f t="shared" si="3"/>
        <v>4.3160459770114942E-2</v>
      </c>
      <c r="N69" s="112">
        <f>+K69-[1]Julio!D60</f>
        <v>-500000</v>
      </c>
    </row>
    <row r="70" spans="1:51" s="27" customFormat="1" ht="24.95" customHeight="1" x14ac:dyDescent="0.25">
      <c r="A70" s="137">
        <v>203502</v>
      </c>
      <c r="B70" s="108">
        <v>20</v>
      </c>
      <c r="C70" s="109" t="s">
        <v>41</v>
      </c>
      <c r="D70" s="16">
        <v>1004000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f t="shared" si="1"/>
        <v>0</v>
      </c>
      <c r="K70" s="16">
        <f t="shared" si="7"/>
        <v>1004000</v>
      </c>
      <c r="L70" s="16">
        <v>750992</v>
      </c>
      <c r="M70" s="138">
        <f t="shared" si="3"/>
        <v>0.748</v>
      </c>
      <c r="N70" s="112">
        <f>+K70-[1]Julio!D61</f>
        <v>4000</v>
      </c>
    </row>
    <row r="71" spans="1:51" s="27" customFormat="1" ht="24.95" customHeight="1" x14ac:dyDescent="0.25">
      <c r="A71" s="137">
        <v>203503</v>
      </c>
      <c r="B71" s="108">
        <v>20</v>
      </c>
      <c r="C71" s="109" t="s">
        <v>42</v>
      </c>
      <c r="D71" s="16">
        <v>16396000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f t="shared" si="1"/>
        <v>0</v>
      </c>
      <c r="K71" s="16">
        <f t="shared" si="7"/>
        <v>16396000</v>
      </c>
      <c r="L71" s="16">
        <v>0</v>
      </c>
      <c r="M71" s="138">
        <f t="shared" si="3"/>
        <v>0</v>
      </c>
      <c r="N71" s="112">
        <f>+K71-[1]Julio!D62</f>
        <v>-504000</v>
      </c>
    </row>
    <row r="72" spans="1:51" s="27" customFormat="1" ht="39.75" customHeight="1" x14ac:dyDescent="0.25">
      <c r="A72" s="137">
        <v>204</v>
      </c>
      <c r="B72" s="108"/>
      <c r="C72" s="109" t="s">
        <v>43</v>
      </c>
      <c r="D72" s="16">
        <f>+D73+D80+D85+D98+D110+D116+D121+D126+D132+D136+D142+D143+D148+D150+D141</f>
        <v>7702000000</v>
      </c>
      <c r="E72" s="16">
        <f t="shared" ref="E72:I72" si="21">+E73+E80+E85+E98+E110+E116+E121+E126+E132+E136+E142+E143+E148+E150+E141</f>
        <v>0</v>
      </c>
      <c r="F72" s="16">
        <f t="shared" si="21"/>
        <v>0</v>
      </c>
      <c r="G72" s="16">
        <f t="shared" si="21"/>
        <v>0</v>
      </c>
      <c r="H72" s="16">
        <f t="shared" si="21"/>
        <v>5227477887</v>
      </c>
      <c r="I72" s="16">
        <f t="shared" si="21"/>
        <v>3175388887</v>
      </c>
      <c r="J72" s="16">
        <f t="shared" si="1"/>
        <v>2052089000</v>
      </c>
      <c r="K72" s="16">
        <f>K73+K80+K85+K98+K110+K116+K121+K126+K132+K136+K141+K142+K148+K150+K143</f>
        <v>9754089000</v>
      </c>
      <c r="L72" s="16">
        <f>+L73+L80+L85+L98+L110+L116+L121+L126+L132+L136+L142+L143+L148+L1187+L150+L141</f>
        <v>9220572972.6900005</v>
      </c>
      <c r="M72" s="138">
        <f t="shared" si="3"/>
        <v>0.94530334639042157</v>
      </c>
      <c r="N72" s="112">
        <f>+K72-[1]Julio!D63</f>
        <v>334989000</v>
      </c>
    </row>
    <row r="73" spans="1:51" s="27" customFormat="1" ht="24.95" customHeight="1" x14ac:dyDescent="0.25">
      <c r="A73" s="137">
        <v>2041</v>
      </c>
      <c r="B73" s="108"/>
      <c r="C73" s="109" t="s">
        <v>131</v>
      </c>
      <c r="D73" s="16">
        <f t="shared" ref="D73:I73" si="22">SUM(D74:D79)</f>
        <v>237625016</v>
      </c>
      <c r="E73" s="16">
        <f t="shared" si="22"/>
        <v>0</v>
      </c>
      <c r="F73" s="16">
        <f t="shared" si="22"/>
        <v>0</v>
      </c>
      <c r="G73" s="16">
        <f t="shared" si="22"/>
        <v>0</v>
      </c>
      <c r="H73" s="16">
        <f t="shared" si="22"/>
        <v>705270000</v>
      </c>
      <c r="I73" s="16">
        <f t="shared" si="22"/>
        <v>335698128</v>
      </c>
      <c r="J73" s="16">
        <f t="shared" si="1"/>
        <v>369571872</v>
      </c>
      <c r="K73" s="16">
        <f>D73+J73</f>
        <v>607196888</v>
      </c>
      <c r="L73" s="16">
        <f>SUM(L74:L79)</f>
        <v>505526090</v>
      </c>
      <c r="M73" s="138">
        <f t="shared" si="3"/>
        <v>0.83255711613594441</v>
      </c>
      <c r="N73" s="112"/>
    </row>
    <row r="74" spans="1:51" s="27" customFormat="1" ht="24.95" customHeight="1" x14ac:dyDescent="0.25">
      <c r="A74" s="137">
        <v>20414</v>
      </c>
      <c r="B74" s="108">
        <v>20</v>
      </c>
      <c r="C74" s="109" t="s">
        <v>132</v>
      </c>
      <c r="D74" s="16">
        <v>4821610</v>
      </c>
      <c r="E74" s="16">
        <v>0</v>
      </c>
      <c r="F74" s="16">
        <v>0</v>
      </c>
      <c r="G74" s="16">
        <v>0</v>
      </c>
      <c r="H74" s="16">
        <v>42600000</v>
      </c>
      <c r="I74" s="16">
        <v>35000000</v>
      </c>
      <c r="J74" s="16">
        <f t="shared" si="1"/>
        <v>7600000</v>
      </c>
      <c r="K74" s="16">
        <f t="shared" si="7"/>
        <v>12421610</v>
      </c>
      <c r="L74" s="16">
        <v>9538000</v>
      </c>
      <c r="M74" s="138">
        <f t="shared" si="3"/>
        <v>0.76785537462535047</v>
      </c>
      <c r="N74" s="112"/>
    </row>
    <row r="75" spans="1:51" s="27" customFormat="1" ht="24.95" customHeight="1" x14ac:dyDescent="0.25">
      <c r="A75" s="137">
        <v>204106</v>
      </c>
      <c r="B75" s="108">
        <v>10</v>
      </c>
      <c r="C75" s="109" t="s">
        <v>133</v>
      </c>
      <c r="D75" s="16">
        <v>0</v>
      </c>
      <c r="E75" s="16">
        <v>0</v>
      </c>
      <c r="F75" s="16">
        <v>0</v>
      </c>
      <c r="G75" s="16">
        <v>0</v>
      </c>
      <c r="H75" s="16">
        <f>271080000+12590000</f>
        <v>283670000</v>
      </c>
      <c r="I75" s="16">
        <f>200000000+43000000</f>
        <v>243000000</v>
      </c>
      <c r="J75" s="16">
        <f t="shared" ref="J75:J138" si="23">E75-F75-G75+H75-I75</f>
        <v>40670000</v>
      </c>
      <c r="K75" s="16">
        <f>D75+J75</f>
        <v>40670000</v>
      </c>
      <c r="L75" s="16">
        <v>19512032</v>
      </c>
      <c r="M75" s="138">
        <f>+L75/K75</f>
        <v>0.47976474059503321</v>
      </c>
      <c r="N75" s="112"/>
    </row>
    <row r="76" spans="1:51" s="27" customFormat="1" ht="24.95" customHeight="1" x14ac:dyDescent="0.25">
      <c r="A76" s="137">
        <v>20418</v>
      </c>
      <c r="B76" s="108">
        <v>10</v>
      </c>
      <c r="C76" s="109" t="s">
        <v>134</v>
      </c>
      <c r="D76" s="16">
        <v>0</v>
      </c>
      <c r="E76" s="16">
        <v>0</v>
      </c>
      <c r="F76" s="16">
        <v>0</v>
      </c>
      <c r="G76" s="16">
        <v>0</v>
      </c>
      <c r="H76" s="16">
        <v>26000000</v>
      </c>
      <c r="I76" s="16">
        <v>13000000</v>
      </c>
      <c r="J76" s="16">
        <f t="shared" si="23"/>
        <v>13000000</v>
      </c>
      <c r="K76" s="16">
        <f>D76+J76</f>
        <v>13000000</v>
      </c>
      <c r="L76" s="16">
        <v>2603040</v>
      </c>
      <c r="M76" s="138">
        <f>+L76/K76</f>
        <v>0.20023384615384615</v>
      </c>
      <c r="N76" s="112"/>
    </row>
    <row r="77" spans="1:51" s="27" customFormat="1" ht="24.95" customHeight="1" x14ac:dyDescent="0.25">
      <c r="A77" s="137">
        <v>20418</v>
      </c>
      <c r="B77" s="108">
        <v>20</v>
      </c>
      <c r="C77" s="109" t="s">
        <v>134</v>
      </c>
      <c r="D77" s="16">
        <v>229791406</v>
      </c>
      <c r="E77" s="16">
        <v>0</v>
      </c>
      <c r="F77" s="16">
        <v>0</v>
      </c>
      <c r="G77" s="16">
        <v>0</v>
      </c>
      <c r="H77" s="16">
        <v>3000000</v>
      </c>
      <c r="I77" s="16">
        <f>26000000+864572</f>
        <v>26864572</v>
      </c>
      <c r="J77" s="16">
        <f t="shared" si="23"/>
        <v>-23864572</v>
      </c>
      <c r="K77" s="16">
        <f t="shared" si="7"/>
        <v>205926834</v>
      </c>
      <c r="L77" s="16">
        <v>205819376</v>
      </c>
      <c r="M77" s="138">
        <f t="shared" si="3"/>
        <v>0.99947817388383686</v>
      </c>
      <c r="N77" s="112"/>
    </row>
    <row r="78" spans="1:51" s="27" customFormat="1" ht="24.95" customHeight="1" x14ac:dyDescent="0.25">
      <c r="A78" s="137">
        <v>2040116</v>
      </c>
      <c r="B78" s="108">
        <v>10</v>
      </c>
      <c r="C78" s="109" t="s">
        <v>163</v>
      </c>
      <c r="D78" s="16">
        <v>0</v>
      </c>
      <c r="E78" s="16">
        <v>0</v>
      </c>
      <c r="F78" s="16">
        <v>0</v>
      </c>
      <c r="G78" s="16">
        <v>0</v>
      </c>
      <c r="H78" s="16">
        <f>200000000+150000000</f>
        <v>350000000</v>
      </c>
      <c r="I78" s="16">
        <v>15883000</v>
      </c>
      <c r="J78" s="16">
        <f t="shared" si="23"/>
        <v>334117000</v>
      </c>
      <c r="K78" s="16">
        <f>D78+J78</f>
        <v>334117000</v>
      </c>
      <c r="L78" s="16">
        <v>267000000</v>
      </c>
      <c r="M78" s="138">
        <f>+L78/K78</f>
        <v>0.79912126590386001</v>
      </c>
      <c r="N78" s="112"/>
    </row>
    <row r="79" spans="1:51" s="27" customFormat="1" ht="24.95" customHeight="1" x14ac:dyDescent="0.25">
      <c r="A79" s="137">
        <v>204125</v>
      </c>
      <c r="B79" s="108">
        <v>20</v>
      </c>
      <c r="C79" s="109" t="s">
        <v>154</v>
      </c>
      <c r="D79" s="16">
        <v>3012000</v>
      </c>
      <c r="E79" s="16">
        <v>0</v>
      </c>
      <c r="F79" s="16">
        <v>0</v>
      </c>
      <c r="G79" s="16">
        <v>0</v>
      </c>
      <c r="H79" s="16">
        <v>0</v>
      </c>
      <c r="I79" s="16">
        <f>1500000+450556</f>
        <v>1950556</v>
      </c>
      <c r="J79" s="16">
        <f t="shared" si="23"/>
        <v>-1950556</v>
      </c>
      <c r="K79" s="16">
        <f t="shared" si="7"/>
        <v>1061444</v>
      </c>
      <c r="L79" s="16">
        <v>1053642</v>
      </c>
      <c r="M79" s="138">
        <f t="shared" si="3"/>
        <v>0.99264963577918386</v>
      </c>
      <c r="N79" s="112"/>
    </row>
    <row r="80" spans="1:51" s="27" customFormat="1" ht="24.95" customHeight="1" x14ac:dyDescent="0.25">
      <c r="A80" s="137">
        <v>2042</v>
      </c>
      <c r="B80" s="108"/>
      <c r="C80" s="109" t="s">
        <v>135</v>
      </c>
      <c r="D80" s="16">
        <f>SUM(D81:D84)</f>
        <v>586679482</v>
      </c>
      <c r="E80" s="16">
        <f t="shared" ref="E80:I80" si="24">SUM(E81:E84)</f>
        <v>0</v>
      </c>
      <c r="F80" s="16">
        <f t="shared" si="24"/>
        <v>0</v>
      </c>
      <c r="G80" s="16">
        <f t="shared" si="24"/>
        <v>0</v>
      </c>
      <c r="H80" s="16">
        <f t="shared" si="24"/>
        <v>324000000</v>
      </c>
      <c r="I80" s="16">
        <f t="shared" si="24"/>
        <v>562772978</v>
      </c>
      <c r="J80" s="16">
        <f t="shared" si="23"/>
        <v>-238772978</v>
      </c>
      <c r="K80" s="16">
        <f>D80+J80</f>
        <v>347906504</v>
      </c>
      <c r="L80" s="16">
        <f>SUM(L81:L84)</f>
        <v>331830212</v>
      </c>
      <c r="M80" s="138">
        <f t="shared" si="3"/>
        <v>0.9537913438950828</v>
      </c>
      <c r="N80" s="112"/>
    </row>
    <row r="81" spans="1:14" s="27" customFormat="1" ht="24.95" customHeight="1" x14ac:dyDescent="0.25">
      <c r="A81" s="137">
        <v>20421</v>
      </c>
      <c r="B81" s="108">
        <v>10</v>
      </c>
      <c r="C81" s="109" t="s">
        <v>136</v>
      </c>
      <c r="D81" s="16">
        <v>0</v>
      </c>
      <c r="E81" s="16">
        <v>0</v>
      </c>
      <c r="F81" s="16">
        <v>0</v>
      </c>
      <c r="G81" s="16">
        <v>0</v>
      </c>
      <c r="H81" s="16">
        <v>88000000</v>
      </c>
      <c r="I81" s="16">
        <v>0</v>
      </c>
      <c r="J81" s="16">
        <f t="shared" si="23"/>
        <v>88000000</v>
      </c>
      <c r="K81" s="16">
        <f>D81+J81</f>
        <v>88000000</v>
      </c>
      <c r="L81" s="16">
        <v>88000000</v>
      </c>
      <c r="M81" s="138">
        <f>+L81/K81</f>
        <v>1</v>
      </c>
      <c r="N81" s="112"/>
    </row>
    <row r="82" spans="1:14" s="27" customFormat="1" ht="24.95" customHeight="1" x14ac:dyDescent="0.25">
      <c r="A82" s="137">
        <v>20421</v>
      </c>
      <c r="B82" s="108">
        <v>20</v>
      </c>
      <c r="C82" s="109" t="s">
        <v>136</v>
      </c>
      <c r="D82" s="16">
        <v>84679482</v>
      </c>
      <c r="E82" s="16">
        <v>0</v>
      </c>
      <c r="F82" s="16">
        <v>0</v>
      </c>
      <c r="G82" s="16">
        <v>0</v>
      </c>
      <c r="H82" s="16">
        <v>0</v>
      </c>
      <c r="I82" s="16">
        <f>70000000+800000+72978</f>
        <v>70872978</v>
      </c>
      <c r="J82" s="16">
        <f t="shared" si="23"/>
        <v>-70872978</v>
      </c>
      <c r="K82" s="16">
        <f t="shared" si="7"/>
        <v>13806504</v>
      </c>
      <c r="L82" s="16">
        <v>13803012</v>
      </c>
      <c r="M82" s="138">
        <f t="shared" si="3"/>
        <v>0.99974707572604915</v>
      </c>
      <c r="N82" s="112"/>
    </row>
    <row r="83" spans="1:14" s="27" customFormat="1" ht="24.95" customHeight="1" x14ac:dyDescent="0.25">
      <c r="A83" s="137">
        <v>20422</v>
      </c>
      <c r="B83" s="108">
        <v>10</v>
      </c>
      <c r="C83" s="109" t="s">
        <v>137</v>
      </c>
      <c r="D83" s="16">
        <v>0</v>
      </c>
      <c r="E83" s="16">
        <v>0</v>
      </c>
      <c r="F83" s="16">
        <v>0</v>
      </c>
      <c r="G83" s="16">
        <v>0</v>
      </c>
      <c r="H83" s="16">
        <f>170000000+45000000+21000000</f>
        <v>236000000</v>
      </c>
      <c r="I83" s="16">
        <v>0</v>
      </c>
      <c r="J83" s="16">
        <f t="shared" si="23"/>
        <v>236000000</v>
      </c>
      <c r="K83" s="16">
        <f t="shared" si="7"/>
        <v>236000000</v>
      </c>
      <c r="L83" s="16">
        <v>219987200</v>
      </c>
      <c r="M83" s="138">
        <f>+L83/K83</f>
        <v>0.93214915254237285</v>
      </c>
      <c r="N83" s="112"/>
    </row>
    <row r="84" spans="1:14" s="27" customFormat="1" ht="24.95" customHeight="1" x14ac:dyDescent="0.25">
      <c r="A84" s="137">
        <v>20422</v>
      </c>
      <c r="B84" s="108">
        <v>20</v>
      </c>
      <c r="C84" s="109" t="s">
        <v>137</v>
      </c>
      <c r="D84" s="16">
        <v>502000000</v>
      </c>
      <c r="E84" s="16">
        <v>0</v>
      </c>
      <c r="F84" s="16">
        <v>0</v>
      </c>
      <c r="G84" s="16">
        <v>0</v>
      </c>
      <c r="H84" s="16">
        <v>0</v>
      </c>
      <c r="I84" s="16">
        <f>193000000+146000000+61000000+90000000+1900000</f>
        <v>491900000</v>
      </c>
      <c r="J84" s="16">
        <f t="shared" si="23"/>
        <v>-491900000</v>
      </c>
      <c r="K84" s="16">
        <f t="shared" si="7"/>
        <v>10100000</v>
      </c>
      <c r="L84" s="16">
        <v>10040000</v>
      </c>
      <c r="M84" s="138">
        <f t="shared" si="3"/>
        <v>0.99405940594059405</v>
      </c>
      <c r="N84" s="112"/>
    </row>
    <row r="85" spans="1:14" s="27" customFormat="1" ht="24.95" customHeight="1" x14ac:dyDescent="0.25">
      <c r="A85" s="137">
        <v>2044</v>
      </c>
      <c r="B85" s="108"/>
      <c r="C85" s="109" t="s">
        <v>44</v>
      </c>
      <c r="D85" s="16">
        <f>SUM(D86:D97)</f>
        <v>179695502</v>
      </c>
      <c r="E85" s="16">
        <f t="shared" ref="E85:G85" si="25">SUM(E86:E97)</f>
        <v>0</v>
      </c>
      <c r="F85" s="16">
        <f t="shared" si="25"/>
        <v>0</v>
      </c>
      <c r="G85" s="16">
        <f t="shared" si="25"/>
        <v>0</v>
      </c>
      <c r="H85" s="16">
        <f>SUM(H86:H97)</f>
        <v>52400000</v>
      </c>
      <c r="I85" s="16">
        <f>SUM(I86:I97)</f>
        <v>50800000</v>
      </c>
      <c r="J85" s="16">
        <f t="shared" si="23"/>
        <v>1600000</v>
      </c>
      <c r="K85" s="16">
        <f>D85+J85</f>
        <v>181295502</v>
      </c>
      <c r="L85" s="16">
        <f>SUM(L86:L97)</f>
        <v>152329278</v>
      </c>
      <c r="M85" s="138">
        <f t="shared" si="3"/>
        <v>0.84022646077562368</v>
      </c>
      <c r="N85" s="112">
        <f>+K85-[1]Julio!D73</f>
        <v>-44096285</v>
      </c>
    </row>
    <row r="86" spans="1:14" s="27" customFormat="1" ht="24.95" customHeight="1" x14ac:dyDescent="0.25">
      <c r="A86" s="137">
        <v>20441</v>
      </c>
      <c r="B86" s="108">
        <v>20</v>
      </c>
      <c r="C86" s="109" t="s">
        <v>45</v>
      </c>
      <c r="D86" s="16">
        <v>77079927</v>
      </c>
      <c r="E86" s="16">
        <v>0</v>
      </c>
      <c r="F86" s="16">
        <v>0</v>
      </c>
      <c r="G86" s="16">
        <v>0</v>
      </c>
      <c r="H86" s="16">
        <v>10000000</v>
      </c>
      <c r="I86" s="16">
        <v>0</v>
      </c>
      <c r="J86" s="16">
        <f t="shared" si="23"/>
        <v>10000000</v>
      </c>
      <c r="K86" s="16">
        <f t="shared" si="7"/>
        <v>87079927</v>
      </c>
      <c r="L86" s="16">
        <v>81293560</v>
      </c>
      <c r="M86" s="138">
        <f t="shared" si="3"/>
        <v>0.93355108118085584</v>
      </c>
      <c r="N86" s="112">
        <f>+K86-[1]Julio!D74</f>
        <v>-3337917</v>
      </c>
    </row>
    <row r="87" spans="1:14" s="27" customFormat="1" ht="24.95" customHeight="1" x14ac:dyDescent="0.25">
      <c r="A87" s="137">
        <v>20442</v>
      </c>
      <c r="B87" s="108">
        <v>20</v>
      </c>
      <c r="C87" s="109" t="s">
        <v>46</v>
      </c>
      <c r="D87" s="16">
        <v>7685354</v>
      </c>
      <c r="E87" s="16">
        <v>0</v>
      </c>
      <c r="F87" s="16">
        <v>0</v>
      </c>
      <c r="G87" s="16">
        <v>0</v>
      </c>
      <c r="H87" s="16">
        <f>12000000+15400000</f>
        <v>27400000</v>
      </c>
      <c r="I87" s="16">
        <f>15000000+7000000</f>
        <v>22000000</v>
      </c>
      <c r="J87" s="16">
        <f t="shared" si="23"/>
        <v>5400000</v>
      </c>
      <c r="K87" s="16">
        <f t="shared" si="7"/>
        <v>13085354</v>
      </c>
      <c r="L87" s="16">
        <v>11889621</v>
      </c>
      <c r="M87" s="138">
        <f t="shared" si="3"/>
        <v>0.90862050808866157</v>
      </c>
      <c r="N87" s="112">
        <f>+K87-[1]Julio!D75</f>
        <v>2119463</v>
      </c>
    </row>
    <row r="88" spans="1:14" s="27" customFormat="1" ht="24.95" customHeight="1" x14ac:dyDescent="0.25">
      <c r="A88" s="137">
        <v>20446</v>
      </c>
      <c r="B88" s="108">
        <v>20</v>
      </c>
      <c r="C88" s="109" t="s">
        <v>138</v>
      </c>
      <c r="D88" s="16">
        <v>5424311</v>
      </c>
      <c r="E88" s="16">
        <v>0</v>
      </c>
      <c r="F88" s="16">
        <v>0</v>
      </c>
      <c r="G88" s="16">
        <v>0</v>
      </c>
      <c r="H88" s="16">
        <v>0</v>
      </c>
      <c r="I88" s="16">
        <f>5000000+400000</f>
        <v>5400000</v>
      </c>
      <c r="J88" s="16">
        <f t="shared" si="23"/>
        <v>-5400000</v>
      </c>
      <c r="K88" s="16">
        <f t="shared" si="7"/>
        <v>24311</v>
      </c>
      <c r="L88" s="16">
        <v>0</v>
      </c>
      <c r="M88" s="138">
        <f t="shared" si="3"/>
        <v>0</v>
      </c>
      <c r="N88" s="112"/>
    </row>
    <row r="89" spans="1:14" s="27" customFormat="1" ht="24.95" customHeight="1" x14ac:dyDescent="0.25">
      <c r="A89" s="137">
        <v>20449</v>
      </c>
      <c r="B89" s="108">
        <v>20</v>
      </c>
      <c r="C89" s="109" t="s">
        <v>47</v>
      </c>
      <c r="D89" s="16">
        <v>1009167</v>
      </c>
      <c r="E89" s="16">
        <v>0</v>
      </c>
      <c r="F89" s="16">
        <v>0</v>
      </c>
      <c r="G89" s="16">
        <v>0</v>
      </c>
      <c r="H89" s="16">
        <v>0</v>
      </c>
      <c r="I89" s="16">
        <v>1000000</v>
      </c>
      <c r="J89" s="16">
        <f t="shared" si="23"/>
        <v>-1000000</v>
      </c>
      <c r="K89" s="16">
        <f t="shared" si="7"/>
        <v>9167</v>
      </c>
      <c r="L89" s="16">
        <v>0</v>
      </c>
      <c r="M89" s="138">
        <f t="shared" si="3"/>
        <v>0</v>
      </c>
      <c r="N89" s="112">
        <f>+K89-[1]Julio!D77</f>
        <v>-2628715</v>
      </c>
    </row>
    <row r="90" spans="1:14" s="27" customFormat="1" ht="34.5" customHeight="1" x14ac:dyDescent="0.25">
      <c r="A90" s="137">
        <v>204413</v>
      </c>
      <c r="B90" s="108">
        <v>20</v>
      </c>
      <c r="C90" s="109" t="s">
        <v>48</v>
      </c>
      <c r="D90" s="16">
        <v>3602538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f t="shared" si="23"/>
        <v>0</v>
      </c>
      <c r="K90" s="16">
        <f t="shared" si="7"/>
        <v>3602538</v>
      </c>
      <c r="L90" s="16">
        <v>803200</v>
      </c>
      <c r="M90" s="138">
        <f t="shared" si="3"/>
        <v>0.22295392859145413</v>
      </c>
      <c r="N90" s="112">
        <f>+K90-[1]Julio!D78</f>
        <v>1980131</v>
      </c>
    </row>
    <row r="91" spans="1:14" s="27" customFormat="1" ht="34.5" customHeight="1" x14ac:dyDescent="0.25">
      <c r="A91" s="137">
        <v>204415</v>
      </c>
      <c r="B91" s="108">
        <v>10</v>
      </c>
      <c r="C91" s="109" t="s">
        <v>49</v>
      </c>
      <c r="D91" s="16">
        <v>0</v>
      </c>
      <c r="E91" s="16">
        <v>0</v>
      </c>
      <c r="F91" s="16">
        <v>0</v>
      </c>
      <c r="G91" s="16">
        <v>0</v>
      </c>
      <c r="H91" s="16">
        <v>10000000</v>
      </c>
      <c r="I91" s="16">
        <v>0</v>
      </c>
      <c r="J91" s="16">
        <f t="shared" si="23"/>
        <v>10000000</v>
      </c>
      <c r="K91" s="16">
        <f>D91+J91</f>
        <v>10000000</v>
      </c>
      <c r="L91" s="16">
        <v>0</v>
      </c>
      <c r="M91" s="138">
        <f>+L91/K91</f>
        <v>0</v>
      </c>
      <c r="N91" s="112"/>
    </row>
    <row r="92" spans="1:14" s="27" customFormat="1" ht="34.5" customHeight="1" x14ac:dyDescent="0.25">
      <c r="A92" s="137">
        <v>204415</v>
      </c>
      <c r="B92" s="108">
        <v>20</v>
      </c>
      <c r="C92" s="109" t="s">
        <v>49</v>
      </c>
      <c r="D92" s="16">
        <v>40264789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f t="shared" si="23"/>
        <v>0</v>
      </c>
      <c r="K92" s="16">
        <f t="shared" si="7"/>
        <v>40264789</v>
      </c>
      <c r="L92" s="16">
        <v>40070937</v>
      </c>
      <c r="M92" s="138">
        <f t="shared" si="3"/>
        <v>0.99518557020129916</v>
      </c>
      <c r="N92" s="112">
        <f>+K92-[1]Julio!D79</f>
        <v>-19880533</v>
      </c>
    </row>
    <row r="93" spans="1:14" s="27" customFormat="1" ht="24.95" customHeight="1" x14ac:dyDescent="0.25">
      <c r="A93" s="137">
        <v>204417</v>
      </c>
      <c r="B93" s="108">
        <v>20</v>
      </c>
      <c r="C93" s="109" t="s">
        <v>50</v>
      </c>
      <c r="D93" s="16">
        <v>2682341</v>
      </c>
      <c r="E93" s="16">
        <v>0</v>
      </c>
      <c r="F93" s="16">
        <v>0</v>
      </c>
      <c r="G93" s="16">
        <v>0</v>
      </c>
      <c r="H93" s="16">
        <v>0</v>
      </c>
      <c r="I93" s="16">
        <v>2500000</v>
      </c>
      <c r="J93" s="16">
        <f t="shared" si="23"/>
        <v>-2500000</v>
      </c>
      <c r="K93" s="16">
        <f t="shared" si="7"/>
        <v>182341</v>
      </c>
      <c r="L93" s="16">
        <v>0</v>
      </c>
      <c r="M93" s="138">
        <f t="shared" si="3"/>
        <v>0</v>
      </c>
      <c r="N93" s="112">
        <f>+K93-[1]Julio!D80</f>
        <v>-1397808</v>
      </c>
    </row>
    <row r="94" spans="1:14" s="27" customFormat="1" ht="34.5" customHeight="1" x14ac:dyDescent="0.25">
      <c r="A94" s="137">
        <v>204418</v>
      </c>
      <c r="B94" s="108">
        <v>20</v>
      </c>
      <c r="C94" s="109" t="s">
        <v>51</v>
      </c>
      <c r="D94" s="16">
        <v>10727078</v>
      </c>
      <c r="E94" s="16">
        <v>0</v>
      </c>
      <c r="F94" s="16">
        <v>0</v>
      </c>
      <c r="G94" s="16">
        <v>0</v>
      </c>
      <c r="H94" s="16">
        <v>0</v>
      </c>
      <c r="I94" s="16">
        <v>1000000</v>
      </c>
      <c r="J94" s="16">
        <f t="shared" si="23"/>
        <v>-1000000</v>
      </c>
      <c r="K94" s="16">
        <f t="shared" si="7"/>
        <v>9727078</v>
      </c>
      <c r="L94" s="16">
        <v>4297673</v>
      </c>
      <c r="M94" s="138">
        <f t="shared" si="3"/>
        <v>0.44182569523961873</v>
      </c>
      <c r="N94" s="112">
        <f>+K94-[1]Julio!D81</f>
        <v>2066020</v>
      </c>
    </row>
    <row r="95" spans="1:14" s="27" customFormat="1" ht="24.95" customHeight="1" x14ac:dyDescent="0.25">
      <c r="A95" s="137">
        <v>204420</v>
      </c>
      <c r="B95" s="108">
        <v>20</v>
      </c>
      <c r="C95" s="109" t="s">
        <v>52</v>
      </c>
      <c r="D95" s="16">
        <v>22698083</v>
      </c>
      <c r="E95" s="16">
        <v>0</v>
      </c>
      <c r="F95" s="16">
        <v>0</v>
      </c>
      <c r="G95" s="16">
        <v>0</v>
      </c>
      <c r="H95" s="16">
        <v>0</v>
      </c>
      <c r="I95" s="16">
        <f>5000000+10000000</f>
        <v>15000000</v>
      </c>
      <c r="J95" s="16">
        <f t="shared" si="23"/>
        <v>-15000000</v>
      </c>
      <c r="K95" s="16">
        <f t="shared" si="7"/>
        <v>7698083</v>
      </c>
      <c r="L95" s="16">
        <v>4938287</v>
      </c>
      <c r="M95" s="138">
        <f t="shared" si="3"/>
        <v>0.64149568145731861</v>
      </c>
      <c r="N95" s="112">
        <f>+K95-[1]Julio!D82</f>
        <v>-21032277</v>
      </c>
    </row>
    <row r="96" spans="1:14" s="27" customFormat="1" ht="24.95" customHeight="1" x14ac:dyDescent="0.25">
      <c r="A96" s="137">
        <v>204421</v>
      </c>
      <c r="B96" s="108">
        <v>20</v>
      </c>
      <c r="C96" s="109" t="s">
        <v>53</v>
      </c>
      <c r="D96" s="16">
        <v>3500690</v>
      </c>
      <c r="E96" s="16">
        <v>0</v>
      </c>
      <c r="F96" s="16">
        <v>0</v>
      </c>
      <c r="G96" s="16">
        <v>0</v>
      </c>
      <c r="H96" s="16">
        <v>0</v>
      </c>
      <c r="I96" s="16">
        <v>3400000</v>
      </c>
      <c r="J96" s="16">
        <f t="shared" si="23"/>
        <v>-3400000</v>
      </c>
      <c r="K96" s="16">
        <f t="shared" si="7"/>
        <v>100690</v>
      </c>
      <c r="L96" s="16">
        <v>0</v>
      </c>
      <c r="M96" s="138">
        <f t="shared" si="3"/>
        <v>0</v>
      </c>
      <c r="N96" s="112">
        <f>+K96-[1]Julio!D83</f>
        <v>-6431191</v>
      </c>
    </row>
    <row r="97" spans="1:14" s="27" customFormat="1" ht="24.95" customHeight="1" x14ac:dyDescent="0.25">
      <c r="A97" s="137">
        <v>204423</v>
      </c>
      <c r="B97" s="108">
        <v>20</v>
      </c>
      <c r="C97" s="109" t="s">
        <v>54</v>
      </c>
      <c r="D97" s="16">
        <v>5021224</v>
      </c>
      <c r="E97" s="16">
        <v>0</v>
      </c>
      <c r="F97" s="16">
        <v>0</v>
      </c>
      <c r="G97" s="16">
        <v>0</v>
      </c>
      <c r="H97" s="16">
        <v>5000000</v>
      </c>
      <c r="I97" s="16">
        <v>500000</v>
      </c>
      <c r="J97" s="16">
        <f t="shared" si="23"/>
        <v>4500000</v>
      </c>
      <c r="K97" s="16">
        <f t="shared" si="7"/>
        <v>9521224</v>
      </c>
      <c r="L97" s="16">
        <v>9036000</v>
      </c>
      <c r="M97" s="138">
        <f t="shared" si="3"/>
        <v>0.94903764473979391</v>
      </c>
      <c r="N97" s="112">
        <f>+K97-[1]Julio!D84</f>
        <v>4494395</v>
      </c>
    </row>
    <row r="98" spans="1:14" s="27" customFormat="1" ht="24.95" customHeight="1" x14ac:dyDescent="0.25">
      <c r="A98" s="137">
        <v>2045</v>
      </c>
      <c r="B98" s="108"/>
      <c r="C98" s="109" t="s">
        <v>55</v>
      </c>
      <c r="D98" s="16">
        <f>SUM(D99:D109)</f>
        <v>1099637188</v>
      </c>
      <c r="E98" s="16">
        <f t="shared" ref="E98:G98" si="26">SUM(E99:E109)</f>
        <v>0</v>
      </c>
      <c r="F98" s="16">
        <f t="shared" si="26"/>
        <v>0</v>
      </c>
      <c r="G98" s="16">
        <f t="shared" si="26"/>
        <v>0</v>
      </c>
      <c r="H98" s="16">
        <f>SUM(H99:H109)</f>
        <v>265013000</v>
      </c>
      <c r="I98" s="16">
        <f>SUM(I99:I109)</f>
        <v>561500000</v>
      </c>
      <c r="J98" s="16">
        <f t="shared" si="23"/>
        <v>-296487000</v>
      </c>
      <c r="K98" s="16">
        <f>D98+J98</f>
        <v>803150188</v>
      </c>
      <c r="L98" s="16">
        <f>SUM(L99:L109)</f>
        <v>724234839.63</v>
      </c>
      <c r="M98" s="138">
        <f t="shared" ref="M98:M186" si="27">+L98/K98</f>
        <v>0.90174272564572944</v>
      </c>
      <c r="N98" s="112">
        <f>+K98-[1]Julio!D85</f>
        <v>-38982324</v>
      </c>
    </row>
    <row r="99" spans="1:14" s="27" customFormat="1" ht="45.75" customHeight="1" x14ac:dyDescent="0.25">
      <c r="A99" s="137">
        <v>20451</v>
      </c>
      <c r="B99" s="108">
        <v>10</v>
      </c>
      <c r="C99" s="109" t="s">
        <v>195</v>
      </c>
      <c r="D99" s="16">
        <v>0</v>
      </c>
      <c r="E99" s="16">
        <v>0</v>
      </c>
      <c r="F99" s="16">
        <v>0</v>
      </c>
      <c r="G99" s="16">
        <v>0</v>
      </c>
      <c r="H99" s="16">
        <f>180720000+4000000+46000000</f>
        <v>230720000</v>
      </c>
      <c r="I99" s="16">
        <v>0</v>
      </c>
      <c r="J99" s="16">
        <f t="shared" si="23"/>
        <v>230720000</v>
      </c>
      <c r="K99" s="16">
        <f>D99+J99</f>
        <v>230720000</v>
      </c>
      <c r="L99" s="16">
        <v>184719999.63</v>
      </c>
      <c r="M99" s="138">
        <f>+L99/K99</f>
        <v>0.80062413154472956</v>
      </c>
      <c r="N99" s="112"/>
    </row>
    <row r="100" spans="1:14" s="27" customFormat="1" ht="45" customHeight="1" x14ac:dyDescent="0.25">
      <c r="A100" s="137">
        <v>20451</v>
      </c>
      <c r="B100" s="108">
        <v>20</v>
      </c>
      <c r="C100" s="109" t="s">
        <v>195</v>
      </c>
      <c r="D100" s="16">
        <v>512296020</v>
      </c>
      <c r="E100" s="16">
        <v>0</v>
      </c>
      <c r="F100" s="16">
        <v>0</v>
      </c>
      <c r="G100" s="16">
        <v>0</v>
      </c>
      <c r="H100" s="16">
        <v>0</v>
      </c>
      <c r="I100" s="16">
        <f>13000000+200000000+250000000+10000000+4500000</f>
        <v>477500000</v>
      </c>
      <c r="J100" s="16">
        <f t="shared" si="23"/>
        <v>-477500000</v>
      </c>
      <c r="K100" s="16">
        <f t="shared" si="7"/>
        <v>34796020</v>
      </c>
      <c r="L100" s="16">
        <v>15150119</v>
      </c>
      <c r="M100" s="138">
        <f t="shared" si="27"/>
        <v>0.43539804264970533</v>
      </c>
      <c r="N100" s="112">
        <f>+K100-[1]Julio!D86</f>
        <v>-66039380</v>
      </c>
    </row>
    <row r="101" spans="1:14" s="27" customFormat="1" ht="34.5" customHeight="1" x14ac:dyDescent="0.25">
      <c r="A101" s="137">
        <v>20452</v>
      </c>
      <c r="B101" s="108">
        <v>10</v>
      </c>
      <c r="C101" s="109" t="s">
        <v>57</v>
      </c>
      <c r="D101" s="16">
        <v>0</v>
      </c>
      <c r="E101" s="16">
        <v>0</v>
      </c>
      <c r="F101" s="16">
        <v>0</v>
      </c>
      <c r="G101" s="16">
        <v>0</v>
      </c>
      <c r="H101" s="16">
        <v>3293000</v>
      </c>
      <c r="I101" s="16">
        <v>0</v>
      </c>
      <c r="J101" s="16">
        <f t="shared" si="23"/>
        <v>3293000</v>
      </c>
      <c r="K101" s="16">
        <f>D101+J101</f>
        <v>3293000</v>
      </c>
      <c r="L101" s="16">
        <v>0</v>
      </c>
      <c r="M101" s="138">
        <f>+L101/K101</f>
        <v>0</v>
      </c>
      <c r="N101" s="112"/>
    </row>
    <row r="102" spans="1:14" s="27" customFormat="1" ht="34.5" customHeight="1" x14ac:dyDescent="0.25">
      <c r="A102" s="137">
        <v>20452</v>
      </c>
      <c r="B102" s="108">
        <v>20</v>
      </c>
      <c r="C102" s="109" t="s">
        <v>57</v>
      </c>
      <c r="D102" s="16">
        <v>22700741</v>
      </c>
      <c r="E102" s="16">
        <v>0</v>
      </c>
      <c r="F102" s="16">
        <v>0</v>
      </c>
      <c r="G102" s="16">
        <v>0</v>
      </c>
      <c r="H102" s="16">
        <v>20000000</v>
      </c>
      <c r="I102" s="16">
        <f>10000000+3000000</f>
        <v>13000000</v>
      </c>
      <c r="J102" s="16">
        <f t="shared" si="23"/>
        <v>7000000</v>
      </c>
      <c r="K102" s="16">
        <f t="shared" si="7"/>
        <v>29700741</v>
      </c>
      <c r="L102" s="16">
        <v>23135564</v>
      </c>
      <c r="M102" s="138">
        <f t="shared" si="27"/>
        <v>0.77895578430181256</v>
      </c>
      <c r="N102" s="112">
        <f>+K102-[1]Julio!D87</f>
        <v>-8053631</v>
      </c>
    </row>
    <row r="103" spans="1:14" s="27" customFormat="1" ht="36.75" customHeight="1" x14ac:dyDescent="0.25">
      <c r="A103" s="137">
        <v>20455</v>
      </c>
      <c r="B103" s="108">
        <v>20</v>
      </c>
      <c r="C103" s="109" t="s">
        <v>58</v>
      </c>
      <c r="D103" s="16">
        <v>59528698</v>
      </c>
      <c r="E103" s="16">
        <v>0</v>
      </c>
      <c r="F103" s="16">
        <v>0</v>
      </c>
      <c r="G103" s="16">
        <v>0</v>
      </c>
      <c r="H103" s="16">
        <v>0</v>
      </c>
      <c r="I103" s="16">
        <f>30000000+25000000+3000000</f>
        <v>58000000</v>
      </c>
      <c r="J103" s="16">
        <f t="shared" si="23"/>
        <v>-58000000</v>
      </c>
      <c r="K103" s="16">
        <f t="shared" si="7"/>
        <v>1528698</v>
      </c>
      <c r="L103" s="16">
        <v>935720</v>
      </c>
      <c r="M103" s="138">
        <f t="shared" si="27"/>
        <v>0.61210258664562911</v>
      </c>
      <c r="N103" s="112">
        <f>+K103-[1]Julio!D88</f>
        <v>-59534559</v>
      </c>
    </row>
    <row r="104" spans="1:14" s="27" customFormat="1" ht="34.5" customHeight="1" x14ac:dyDescent="0.25">
      <c r="A104" s="137">
        <v>20456</v>
      </c>
      <c r="B104" s="108">
        <v>10</v>
      </c>
      <c r="C104" s="109" t="s">
        <v>59</v>
      </c>
      <c r="D104" s="16">
        <v>0</v>
      </c>
      <c r="E104" s="16">
        <v>0</v>
      </c>
      <c r="F104" s="16">
        <v>0</v>
      </c>
      <c r="G104" s="16">
        <v>0</v>
      </c>
      <c r="H104" s="16">
        <v>6000000</v>
      </c>
      <c r="I104" s="16">
        <v>0</v>
      </c>
      <c r="J104" s="16">
        <f t="shared" si="23"/>
        <v>6000000</v>
      </c>
      <c r="K104" s="16">
        <f>D104+J104</f>
        <v>6000000</v>
      </c>
      <c r="L104" s="16">
        <v>6000000</v>
      </c>
      <c r="M104" s="138">
        <f>+L104/K104</f>
        <v>1</v>
      </c>
      <c r="N104" s="112"/>
    </row>
    <row r="105" spans="1:14" s="27" customFormat="1" ht="34.5" customHeight="1" x14ac:dyDescent="0.25">
      <c r="A105" s="137">
        <v>20456</v>
      </c>
      <c r="B105" s="108">
        <v>20</v>
      </c>
      <c r="C105" s="109" t="s">
        <v>59</v>
      </c>
      <c r="D105" s="16">
        <v>56693592</v>
      </c>
      <c r="E105" s="16">
        <v>0</v>
      </c>
      <c r="F105" s="16">
        <v>0</v>
      </c>
      <c r="G105" s="16">
        <v>0</v>
      </c>
      <c r="H105" s="16">
        <v>5000000</v>
      </c>
      <c r="I105" s="16">
        <v>3000000</v>
      </c>
      <c r="J105" s="16">
        <f t="shared" si="23"/>
        <v>2000000</v>
      </c>
      <c r="K105" s="16">
        <f t="shared" ref="K105:L194" si="28">D105+J105</f>
        <v>58693592</v>
      </c>
      <c r="L105" s="16">
        <v>57001299</v>
      </c>
      <c r="M105" s="138">
        <f t="shared" si="27"/>
        <v>0.97116732947610362</v>
      </c>
      <c r="N105" s="112">
        <f>+K105-[1]Julio!D89</f>
        <v>-44934996</v>
      </c>
    </row>
    <row r="106" spans="1:14" s="27" customFormat="1" ht="24.95" customHeight="1" x14ac:dyDescent="0.25">
      <c r="A106" s="137">
        <v>20458</v>
      </c>
      <c r="B106" s="108">
        <v>20</v>
      </c>
      <c r="C106" s="109" t="s">
        <v>157</v>
      </c>
      <c r="D106" s="16">
        <v>180720000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f t="shared" si="23"/>
        <v>0</v>
      </c>
      <c r="K106" s="16">
        <f t="shared" si="28"/>
        <v>180720000</v>
      </c>
      <c r="L106" s="16">
        <v>180720000</v>
      </c>
      <c r="M106" s="138">
        <f t="shared" si="27"/>
        <v>1</v>
      </c>
      <c r="N106" s="112"/>
    </row>
    <row r="107" spans="1:14" s="27" customFormat="1" ht="24.95" customHeight="1" x14ac:dyDescent="0.25">
      <c r="A107" s="137">
        <v>204510</v>
      </c>
      <c r="B107" s="108">
        <v>20</v>
      </c>
      <c r="C107" s="109" t="s">
        <v>158</v>
      </c>
      <c r="D107" s="16">
        <v>228912000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23"/>
        <v>0</v>
      </c>
      <c r="K107" s="16">
        <f t="shared" si="28"/>
        <v>228912000</v>
      </c>
      <c r="L107" s="16">
        <v>228912000</v>
      </c>
      <c r="M107" s="138">
        <f t="shared" si="27"/>
        <v>1</v>
      </c>
      <c r="N107" s="112"/>
    </row>
    <row r="108" spans="1:14" s="27" customFormat="1" ht="24.95" customHeight="1" x14ac:dyDescent="0.25">
      <c r="A108" s="137">
        <v>204512</v>
      </c>
      <c r="B108" s="108">
        <v>20</v>
      </c>
      <c r="C108" s="109" t="s">
        <v>60</v>
      </c>
      <c r="D108" s="16">
        <v>1004004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f t="shared" si="23"/>
        <v>0</v>
      </c>
      <c r="K108" s="16">
        <f t="shared" si="28"/>
        <v>1004004</v>
      </c>
      <c r="L108" s="16">
        <v>400</v>
      </c>
      <c r="M108" s="138">
        <f t="shared" si="27"/>
        <v>3.9840478723192336E-4</v>
      </c>
      <c r="N108" s="112"/>
    </row>
    <row r="109" spans="1:14" s="27" customFormat="1" ht="24.95" customHeight="1" x14ac:dyDescent="0.25">
      <c r="A109" s="137">
        <v>204513</v>
      </c>
      <c r="B109" s="108">
        <v>20</v>
      </c>
      <c r="C109" s="109" t="s">
        <v>61</v>
      </c>
      <c r="D109" s="16">
        <v>37782133</v>
      </c>
      <c r="E109" s="16">
        <v>0</v>
      </c>
      <c r="F109" s="16">
        <v>0</v>
      </c>
      <c r="G109" s="16">
        <v>0</v>
      </c>
      <c r="H109" s="16">
        <v>0</v>
      </c>
      <c r="I109" s="16">
        <v>10000000</v>
      </c>
      <c r="J109" s="16">
        <f t="shared" si="23"/>
        <v>-10000000</v>
      </c>
      <c r="K109" s="16">
        <f t="shared" si="28"/>
        <v>27782133</v>
      </c>
      <c r="L109" s="16">
        <v>27659738</v>
      </c>
      <c r="M109" s="138">
        <f t="shared" si="27"/>
        <v>0.99559447073412255</v>
      </c>
      <c r="N109" s="112"/>
    </row>
    <row r="110" spans="1:14" s="27" customFormat="1" ht="24.95" customHeight="1" x14ac:dyDescent="0.25">
      <c r="A110" s="137">
        <v>2046</v>
      </c>
      <c r="B110" s="108"/>
      <c r="C110" s="109" t="s">
        <v>62</v>
      </c>
      <c r="D110" s="16">
        <f t="shared" ref="D110:I110" si="29">SUM(D111:D115)</f>
        <v>150600006</v>
      </c>
      <c r="E110" s="16">
        <f t="shared" si="29"/>
        <v>0</v>
      </c>
      <c r="F110" s="16">
        <f t="shared" si="29"/>
        <v>0</v>
      </c>
      <c r="G110" s="16">
        <f t="shared" si="29"/>
        <v>0</v>
      </c>
      <c r="H110" s="16">
        <f t="shared" si="29"/>
        <v>67600000</v>
      </c>
      <c r="I110" s="16">
        <f t="shared" si="29"/>
        <v>0</v>
      </c>
      <c r="J110" s="16">
        <f t="shared" si="23"/>
        <v>67600000</v>
      </c>
      <c r="K110" s="16">
        <f>D110+J110</f>
        <v>218200006</v>
      </c>
      <c r="L110" s="16">
        <f>SUM(L111:L115)</f>
        <v>215663253</v>
      </c>
      <c r="M110" s="138">
        <f t="shared" si="27"/>
        <v>0.98837418455433035</v>
      </c>
      <c r="N110" s="112">
        <f>+K110-[1]Julio!D103</f>
        <v>-42251260</v>
      </c>
    </row>
    <row r="111" spans="1:14" s="27" customFormat="1" ht="24.95" customHeight="1" x14ac:dyDescent="0.25">
      <c r="A111" s="137">
        <v>20462</v>
      </c>
      <c r="B111" s="108">
        <v>10</v>
      </c>
      <c r="C111" s="109" t="s">
        <v>63</v>
      </c>
      <c r="D111" s="16"/>
      <c r="E111" s="16">
        <f t="shared" ref="E111:G111" si="30">SUM(E112:E116)</f>
        <v>0</v>
      </c>
      <c r="F111" s="16">
        <f t="shared" si="30"/>
        <v>0</v>
      </c>
      <c r="G111" s="16">
        <f t="shared" si="30"/>
        <v>0</v>
      </c>
      <c r="H111" s="16">
        <v>43000000</v>
      </c>
      <c r="I111" s="16">
        <v>0</v>
      </c>
      <c r="J111" s="16">
        <f t="shared" si="23"/>
        <v>43000000</v>
      </c>
      <c r="K111" s="16">
        <f>D111+J111</f>
        <v>43000000</v>
      </c>
      <c r="L111" s="16">
        <v>43000000</v>
      </c>
      <c r="M111" s="138">
        <f>+L111/K111</f>
        <v>1</v>
      </c>
      <c r="N111" s="112"/>
    </row>
    <row r="112" spans="1:14" s="27" customFormat="1" ht="24.95" customHeight="1" x14ac:dyDescent="0.25">
      <c r="A112" s="137">
        <v>20462</v>
      </c>
      <c r="B112" s="108">
        <v>20</v>
      </c>
      <c r="C112" s="109" t="s">
        <v>63</v>
      </c>
      <c r="D112" s="16">
        <v>99396002</v>
      </c>
      <c r="E112" s="16">
        <f t="shared" ref="E112:G112" si="31">SUM(E113:E117)</f>
        <v>0</v>
      </c>
      <c r="F112" s="16">
        <f t="shared" si="31"/>
        <v>0</v>
      </c>
      <c r="G112" s="16">
        <f t="shared" si="31"/>
        <v>0</v>
      </c>
      <c r="H112" s="16">
        <v>600000</v>
      </c>
      <c r="I112" s="16">
        <v>0</v>
      </c>
      <c r="J112" s="16">
        <f t="shared" si="23"/>
        <v>600000</v>
      </c>
      <c r="K112" s="16">
        <f t="shared" si="28"/>
        <v>99996002</v>
      </c>
      <c r="L112" s="16">
        <v>98955685</v>
      </c>
      <c r="M112" s="138">
        <f t="shared" si="27"/>
        <v>0.98959641406463428</v>
      </c>
      <c r="N112" s="112">
        <f>+K112-[1]Julio!D104</f>
        <v>-68974643</v>
      </c>
    </row>
    <row r="113" spans="1:54" s="27" customFormat="1" ht="39" customHeight="1" x14ac:dyDescent="0.25">
      <c r="A113" s="137">
        <v>20465</v>
      </c>
      <c r="B113" s="108">
        <v>10</v>
      </c>
      <c r="C113" s="109" t="s">
        <v>64</v>
      </c>
      <c r="D113" s="16">
        <v>0</v>
      </c>
      <c r="E113" s="16">
        <f t="shared" ref="E113:G113" si="32">SUM(E114:E118)</f>
        <v>0</v>
      </c>
      <c r="F113" s="16">
        <f t="shared" si="32"/>
        <v>0</v>
      </c>
      <c r="G113" s="16">
        <f t="shared" si="32"/>
        <v>0</v>
      </c>
      <c r="H113" s="16">
        <v>6000000</v>
      </c>
      <c r="I113" s="16">
        <v>0</v>
      </c>
      <c r="J113" s="16">
        <f t="shared" si="23"/>
        <v>6000000</v>
      </c>
      <c r="K113" s="114">
        <f>D113+J113</f>
        <v>6000000</v>
      </c>
      <c r="L113" s="16">
        <v>5880353</v>
      </c>
      <c r="M113" s="138">
        <f t="shared" si="27"/>
        <v>0.98005883333333332</v>
      </c>
      <c r="N113" s="112"/>
      <c r="BB113" s="113"/>
    </row>
    <row r="114" spans="1:54" s="27" customFormat="1" ht="39" customHeight="1" x14ac:dyDescent="0.25">
      <c r="A114" s="137">
        <v>20465</v>
      </c>
      <c r="B114" s="108">
        <v>20</v>
      </c>
      <c r="C114" s="109" t="s">
        <v>64</v>
      </c>
      <c r="D114" s="16">
        <v>50200000</v>
      </c>
      <c r="E114" s="16">
        <f t="shared" ref="E114:G114" si="33">SUM(E115:E119)</f>
        <v>0</v>
      </c>
      <c r="F114" s="16">
        <f t="shared" si="33"/>
        <v>0</v>
      </c>
      <c r="G114" s="16">
        <f t="shared" si="33"/>
        <v>0</v>
      </c>
      <c r="H114" s="16">
        <v>12000000</v>
      </c>
      <c r="I114" s="16">
        <v>0</v>
      </c>
      <c r="J114" s="16">
        <f t="shared" si="23"/>
        <v>12000000</v>
      </c>
      <c r="K114" s="114">
        <f>D114+J114</f>
        <v>62200000</v>
      </c>
      <c r="L114" s="16">
        <v>62200000</v>
      </c>
      <c r="M114" s="138">
        <f t="shared" si="27"/>
        <v>1</v>
      </c>
      <c r="N114" s="112">
        <f>+K114-[1]Julio!D105</f>
        <v>-28272117</v>
      </c>
      <c r="BB114" s="113">
        <f>+BA114-K114</f>
        <v>-62200000</v>
      </c>
    </row>
    <row r="115" spans="1:54" s="27" customFormat="1" ht="24.95" customHeight="1" x14ac:dyDescent="0.25">
      <c r="A115" s="137">
        <v>20467</v>
      </c>
      <c r="B115" s="108">
        <v>20</v>
      </c>
      <c r="C115" s="109" t="s">
        <v>65</v>
      </c>
      <c r="D115" s="16">
        <v>1004004</v>
      </c>
      <c r="E115" s="16">
        <f t="shared" ref="E115:G115" si="34">SUM(E116:E120)</f>
        <v>0</v>
      </c>
      <c r="F115" s="16">
        <f t="shared" si="34"/>
        <v>0</v>
      </c>
      <c r="G115" s="16">
        <f t="shared" si="34"/>
        <v>0</v>
      </c>
      <c r="H115" s="16">
        <v>6000000</v>
      </c>
      <c r="I115" s="16">
        <v>0</v>
      </c>
      <c r="J115" s="16">
        <f t="shared" si="23"/>
        <v>6000000</v>
      </c>
      <c r="K115" s="16">
        <f t="shared" si="28"/>
        <v>7004004</v>
      </c>
      <c r="L115" s="16">
        <v>5627215</v>
      </c>
      <c r="M115" s="138">
        <f t="shared" si="27"/>
        <v>0.80342829615745504</v>
      </c>
      <c r="N115" s="112">
        <f>+K115-[1]Julio!D106</f>
        <v>5995500</v>
      </c>
    </row>
    <row r="116" spans="1:54" s="27" customFormat="1" ht="24.95" customHeight="1" x14ac:dyDescent="0.25">
      <c r="A116" s="137">
        <v>2047</v>
      </c>
      <c r="B116" s="108"/>
      <c r="C116" s="109" t="s">
        <v>67</v>
      </c>
      <c r="D116" s="16">
        <f t="shared" ref="D116:I116" si="35">SUM(D117:D120)</f>
        <v>146493318</v>
      </c>
      <c r="E116" s="16">
        <f t="shared" si="35"/>
        <v>0</v>
      </c>
      <c r="F116" s="16">
        <f t="shared" si="35"/>
        <v>0</v>
      </c>
      <c r="G116" s="16">
        <f t="shared" si="35"/>
        <v>0</v>
      </c>
      <c r="H116" s="16">
        <f t="shared" si="35"/>
        <v>24000000</v>
      </c>
      <c r="I116" s="16">
        <f t="shared" si="35"/>
        <v>64298199</v>
      </c>
      <c r="J116" s="16">
        <f t="shared" si="23"/>
        <v>-40298199</v>
      </c>
      <c r="K116" s="16">
        <f>D116+J116</f>
        <v>106195119</v>
      </c>
      <c r="L116" s="16">
        <f>SUM(L117:L120)</f>
        <v>103177075</v>
      </c>
      <c r="M116" s="138">
        <f t="shared" si="27"/>
        <v>0.97158020040450255</v>
      </c>
      <c r="N116" s="112">
        <f>+K116-[1]Julio!D107</f>
        <v>-89643151</v>
      </c>
    </row>
    <row r="117" spans="1:54" s="27" customFormat="1" ht="33" customHeight="1" x14ac:dyDescent="0.25">
      <c r="A117" s="137">
        <v>20473</v>
      </c>
      <c r="B117" s="108">
        <v>20</v>
      </c>
      <c r="C117" s="115" t="s">
        <v>147</v>
      </c>
      <c r="D117" s="16">
        <v>10040000</v>
      </c>
      <c r="E117" s="16">
        <v>0</v>
      </c>
      <c r="F117" s="16">
        <v>0</v>
      </c>
      <c r="G117" s="16">
        <v>0</v>
      </c>
      <c r="H117" s="16">
        <v>0</v>
      </c>
      <c r="I117" s="16">
        <v>10000000</v>
      </c>
      <c r="J117" s="16">
        <f t="shared" si="23"/>
        <v>-10000000</v>
      </c>
      <c r="K117" s="16">
        <f t="shared" si="28"/>
        <v>40000</v>
      </c>
      <c r="L117" s="16">
        <v>0</v>
      </c>
      <c r="M117" s="138">
        <f t="shared" si="27"/>
        <v>0</v>
      </c>
      <c r="N117" s="112"/>
    </row>
    <row r="118" spans="1:54" s="27" customFormat="1" ht="24.95" customHeight="1" x14ac:dyDescent="0.25">
      <c r="A118" s="137">
        <v>20475</v>
      </c>
      <c r="B118" s="108">
        <v>10</v>
      </c>
      <c r="C118" s="109" t="s">
        <v>68</v>
      </c>
      <c r="D118" s="16">
        <v>0</v>
      </c>
      <c r="E118" s="16">
        <v>0</v>
      </c>
      <c r="F118" s="16">
        <v>0</v>
      </c>
      <c r="G118" s="16">
        <v>0</v>
      </c>
      <c r="H118" s="16">
        <v>24000000</v>
      </c>
      <c r="I118" s="16">
        <v>24000000</v>
      </c>
      <c r="J118" s="16">
        <f t="shared" si="23"/>
        <v>0</v>
      </c>
      <c r="K118" s="16">
        <f t="shared" si="28"/>
        <v>0</v>
      </c>
      <c r="L118" s="16">
        <v>0</v>
      </c>
      <c r="M118" s="138" t="s">
        <v>155</v>
      </c>
      <c r="N118" s="112"/>
    </row>
    <row r="119" spans="1:54" s="27" customFormat="1" ht="24.95" customHeight="1" x14ac:dyDescent="0.25">
      <c r="A119" s="137">
        <v>20475</v>
      </c>
      <c r="B119" s="108">
        <v>20</v>
      </c>
      <c r="C119" s="109" t="s">
        <v>68</v>
      </c>
      <c r="D119" s="16">
        <v>27609999</v>
      </c>
      <c r="E119" s="16">
        <v>0</v>
      </c>
      <c r="F119" s="16">
        <v>0</v>
      </c>
      <c r="G119" s="16">
        <v>0</v>
      </c>
      <c r="H119" s="16">
        <v>0</v>
      </c>
      <c r="I119" s="16">
        <f>24000000+798199</f>
        <v>24798199</v>
      </c>
      <c r="J119" s="16">
        <f t="shared" si="23"/>
        <v>-24798199</v>
      </c>
      <c r="K119" s="16">
        <f t="shared" si="28"/>
        <v>2811800</v>
      </c>
      <c r="L119" s="16">
        <v>2712607</v>
      </c>
      <c r="M119" s="138">
        <f t="shared" si="27"/>
        <v>0.96472259762429757</v>
      </c>
      <c r="N119" s="112">
        <f>+K119-[1]Julio!D108</f>
        <v>-29843319</v>
      </c>
    </row>
    <row r="120" spans="1:54" s="27" customFormat="1" ht="33" customHeight="1" x14ac:dyDescent="0.25">
      <c r="A120" s="137">
        <v>20476</v>
      </c>
      <c r="B120" s="108">
        <v>20</v>
      </c>
      <c r="C120" s="109" t="s">
        <v>69</v>
      </c>
      <c r="D120" s="16">
        <v>108843319</v>
      </c>
      <c r="E120" s="16">
        <v>0</v>
      </c>
      <c r="F120" s="16">
        <v>0</v>
      </c>
      <c r="G120" s="16">
        <v>0</v>
      </c>
      <c r="H120" s="16">
        <v>0</v>
      </c>
      <c r="I120" s="16">
        <f>2000000+3500000</f>
        <v>5500000</v>
      </c>
      <c r="J120" s="16">
        <f t="shared" si="23"/>
        <v>-5500000</v>
      </c>
      <c r="K120" s="16">
        <f t="shared" si="28"/>
        <v>103343319</v>
      </c>
      <c r="L120" s="16">
        <v>100464468</v>
      </c>
      <c r="M120" s="138">
        <f t="shared" si="27"/>
        <v>0.97214284360269099</v>
      </c>
      <c r="N120" s="112">
        <f>+K120-[1]Julio!D109</f>
        <v>-59839832</v>
      </c>
    </row>
    <row r="121" spans="1:54" s="27" customFormat="1" ht="24.95" customHeight="1" x14ac:dyDescent="0.25">
      <c r="A121" s="137">
        <v>2048</v>
      </c>
      <c r="B121" s="108"/>
      <c r="C121" s="109" t="s">
        <v>70</v>
      </c>
      <c r="D121" s="16">
        <f>SUM(D122:D125)</f>
        <v>267376852</v>
      </c>
      <c r="E121" s="16">
        <f t="shared" ref="E121:G121" si="36">SUM(E122:E125)</f>
        <v>0</v>
      </c>
      <c r="F121" s="16">
        <f t="shared" si="36"/>
        <v>0</v>
      </c>
      <c r="G121" s="16">
        <f t="shared" si="36"/>
        <v>0</v>
      </c>
      <c r="H121" s="16">
        <f>SUM(H122:H125)</f>
        <v>92000000</v>
      </c>
      <c r="I121" s="16">
        <f>SUM(I122:I125)</f>
        <v>76327127</v>
      </c>
      <c r="J121" s="16">
        <f t="shared" si="23"/>
        <v>15672873</v>
      </c>
      <c r="K121" s="16">
        <f>D121+J121</f>
        <v>283049725</v>
      </c>
      <c r="L121" s="16">
        <f>SUM(L122:L125)</f>
        <v>249041831</v>
      </c>
      <c r="M121" s="138">
        <f t="shared" si="27"/>
        <v>0.87985187408325516</v>
      </c>
      <c r="N121" s="112">
        <f>+K121-[1]Julio!D110</f>
        <v>21818375</v>
      </c>
    </row>
    <row r="122" spans="1:54" s="27" customFormat="1" ht="24.95" customHeight="1" x14ac:dyDescent="0.25">
      <c r="A122" s="137">
        <v>20481</v>
      </c>
      <c r="B122" s="108">
        <v>20</v>
      </c>
      <c r="C122" s="109" t="s">
        <v>71</v>
      </c>
      <c r="D122" s="16">
        <v>50626901</v>
      </c>
      <c r="E122" s="16">
        <v>0</v>
      </c>
      <c r="F122" s="16">
        <v>0</v>
      </c>
      <c r="G122" s="16">
        <v>0</v>
      </c>
      <c r="H122" s="16">
        <v>0</v>
      </c>
      <c r="I122" s="16">
        <f>10000000+28000000+2500000+5451167</f>
        <v>45951167</v>
      </c>
      <c r="J122" s="16">
        <f t="shared" si="23"/>
        <v>-45951167</v>
      </c>
      <c r="K122" s="16">
        <f t="shared" si="28"/>
        <v>4675734</v>
      </c>
      <c r="L122" s="16">
        <v>3590804</v>
      </c>
      <c r="M122" s="138">
        <f t="shared" si="27"/>
        <v>0.76796584236827847</v>
      </c>
      <c r="N122" s="112">
        <f>+K122-[1]Julio!D111</f>
        <v>-5366084</v>
      </c>
    </row>
    <row r="123" spans="1:54" s="27" customFormat="1" ht="24.95" customHeight="1" x14ac:dyDescent="0.25">
      <c r="A123" s="137">
        <v>20482</v>
      </c>
      <c r="B123" s="108">
        <v>20</v>
      </c>
      <c r="C123" s="109" t="s">
        <v>72</v>
      </c>
      <c r="D123" s="16">
        <v>151880702</v>
      </c>
      <c r="E123" s="16">
        <v>0</v>
      </c>
      <c r="F123" s="16">
        <v>0</v>
      </c>
      <c r="G123" s="16">
        <v>0</v>
      </c>
      <c r="H123" s="16">
        <f>50000000+17000000</f>
        <v>67000000</v>
      </c>
      <c r="I123" s="16">
        <f>11000000+4500000</f>
        <v>15500000</v>
      </c>
      <c r="J123" s="16">
        <f t="shared" si="23"/>
        <v>51500000</v>
      </c>
      <c r="K123" s="16">
        <f t="shared" si="28"/>
        <v>203380702</v>
      </c>
      <c r="L123" s="16">
        <v>182083280</v>
      </c>
      <c r="M123" s="138">
        <f t="shared" si="27"/>
        <v>0.89528297527461576</v>
      </c>
      <c r="N123" s="112">
        <f>+K123-[1]Julio!D112</f>
        <v>42740422</v>
      </c>
    </row>
    <row r="124" spans="1:54" s="27" customFormat="1" ht="24.95" customHeight="1" x14ac:dyDescent="0.25">
      <c r="A124" s="137">
        <v>20485</v>
      </c>
      <c r="B124" s="108">
        <v>20</v>
      </c>
      <c r="C124" s="109" t="s">
        <v>73</v>
      </c>
      <c r="D124" s="16">
        <v>24709243</v>
      </c>
      <c r="E124" s="16">
        <v>0</v>
      </c>
      <c r="F124" s="16">
        <v>0</v>
      </c>
      <c r="G124" s="16">
        <v>0</v>
      </c>
      <c r="H124" s="16">
        <v>10000000</v>
      </c>
      <c r="I124" s="16">
        <v>4875960</v>
      </c>
      <c r="J124" s="16">
        <f t="shared" si="23"/>
        <v>5124040</v>
      </c>
      <c r="K124" s="16">
        <f t="shared" si="28"/>
        <v>29833283</v>
      </c>
      <c r="L124" s="16">
        <v>28428547</v>
      </c>
      <c r="M124" s="138">
        <f t="shared" si="27"/>
        <v>0.9529137976534463</v>
      </c>
      <c r="N124" s="112">
        <f>+K124-[1]Julio!D113</f>
        <v>-349801</v>
      </c>
    </row>
    <row r="125" spans="1:54" s="27" customFormat="1" ht="24.95" customHeight="1" x14ac:dyDescent="0.25">
      <c r="A125" s="137">
        <v>20486</v>
      </c>
      <c r="B125" s="108">
        <v>20</v>
      </c>
      <c r="C125" s="109" t="s">
        <v>74</v>
      </c>
      <c r="D125" s="16">
        <v>40160006</v>
      </c>
      <c r="E125" s="16">
        <v>0</v>
      </c>
      <c r="F125" s="16">
        <v>0</v>
      </c>
      <c r="G125" s="16">
        <v>0</v>
      </c>
      <c r="H125" s="16">
        <v>15000000</v>
      </c>
      <c r="I125" s="16">
        <v>10000000</v>
      </c>
      <c r="J125" s="16">
        <f t="shared" si="23"/>
        <v>5000000</v>
      </c>
      <c r="K125" s="16">
        <f>D125+J125</f>
        <v>45160006</v>
      </c>
      <c r="L125" s="16">
        <v>34939200</v>
      </c>
      <c r="M125" s="138">
        <f t="shared" si="27"/>
        <v>0.77367571651784106</v>
      </c>
      <c r="N125" s="112">
        <f>+K125-[1]Julio!D114</f>
        <v>-15206162</v>
      </c>
    </row>
    <row r="126" spans="1:54" s="27" customFormat="1" ht="24.95" customHeight="1" x14ac:dyDescent="0.25">
      <c r="A126" s="137">
        <v>2049</v>
      </c>
      <c r="B126" s="108"/>
      <c r="C126" s="109" t="s">
        <v>75</v>
      </c>
      <c r="D126" s="16">
        <f t="shared" ref="D126:G126" si="37">SUM(D127:D131)</f>
        <v>137405873</v>
      </c>
      <c r="E126" s="16">
        <f t="shared" si="37"/>
        <v>0</v>
      </c>
      <c r="F126" s="16">
        <f t="shared" si="37"/>
        <v>0</v>
      </c>
      <c r="G126" s="16">
        <f t="shared" si="37"/>
        <v>0</v>
      </c>
      <c r="H126" s="16">
        <f>SUM(H127:H131)</f>
        <v>1245738625</v>
      </c>
      <c r="I126" s="16">
        <f>SUM(I127:I131)</f>
        <v>756792000</v>
      </c>
      <c r="J126" s="16">
        <f t="shared" si="23"/>
        <v>488946625</v>
      </c>
      <c r="K126" s="16">
        <f>D126+J126</f>
        <v>626352498</v>
      </c>
      <c r="L126" s="16">
        <f>SUM(L127:L131)</f>
        <v>616177700</v>
      </c>
      <c r="M126" s="138">
        <f t="shared" si="27"/>
        <v>0.98375547629731019</v>
      </c>
      <c r="N126" s="112">
        <f>+K126-[1]Julio!D115</f>
        <v>22960953</v>
      </c>
    </row>
    <row r="127" spans="1:54" s="27" customFormat="1" ht="33" customHeight="1" x14ac:dyDescent="0.25">
      <c r="A127" s="137">
        <v>20495</v>
      </c>
      <c r="B127" s="108">
        <v>20</v>
      </c>
      <c r="C127" s="109" t="s">
        <v>76</v>
      </c>
      <c r="D127" s="16">
        <v>43394486</v>
      </c>
      <c r="E127" s="16">
        <v>0</v>
      </c>
      <c r="F127" s="16">
        <v>0</v>
      </c>
      <c r="G127" s="16">
        <v>0</v>
      </c>
      <c r="H127" s="16">
        <f>27000000+5000000+2500000</f>
        <v>34500000</v>
      </c>
      <c r="I127" s="16">
        <f>5000000+4000000+5700000</f>
        <v>14700000</v>
      </c>
      <c r="J127" s="16">
        <f t="shared" si="23"/>
        <v>19800000</v>
      </c>
      <c r="K127" s="114">
        <f t="shared" si="28"/>
        <v>63194486</v>
      </c>
      <c r="L127" s="16">
        <v>63091579</v>
      </c>
      <c r="M127" s="138">
        <f t="shared" si="27"/>
        <v>0.99837158260928016</v>
      </c>
      <c r="N127" s="112">
        <f>+K127-[1]Julio!D116</f>
        <v>2954381</v>
      </c>
      <c r="AZ127" s="113"/>
    </row>
    <row r="128" spans="1:54" s="27" customFormat="1" ht="24.95" customHeight="1" x14ac:dyDescent="0.25">
      <c r="A128" s="137">
        <v>204911</v>
      </c>
      <c r="B128" s="108">
        <v>10</v>
      </c>
      <c r="C128" s="109" t="s">
        <v>77</v>
      </c>
      <c r="D128" s="16">
        <v>0</v>
      </c>
      <c r="E128" s="16">
        <v>0</v>
      </c>
      <c r="F128" s="16">
        <v>0</v>
      </c>
      <c r="G128" s="16">
        <v>0</v>
      </c>
      <c r="H128" s="16">
        <v>5000000</v>
      </c>
      <c r="I128" s="16">
        <v>0</v>
      </c>
      <c r="J128" s="16">
        <f t="shared" si="23"/>
        <v>5000000</v>
      </c>
      <c r="K128" s="114">
        <f t="shared" si="28"/>
        <v>5000000</v>
      </c>
      <c r="L128" s="16">
        <v>0</v>
      </c>
      <c r="M128" s="138">
        <f>+L128/K128</f>
        <v>0</v>
      </c>
      <c r="N128" s="112"/>
    </row>
    <row r="129" spans="1:14" s="27" customFormat="1" ht="24.95" customHeight="1" x14ac:dyDescent="0.25">
      <c r="A129" s="137">
        <v>204911</v>
      </c>
      <c r="B129" s="108">
        <v>20</v>
      </c>
      <c r="C129" s="109" t="s">
        <v>77</v>
      </c>
      <c r="D129" s="16">
        <v>43394486</v>
      </c>
      <c r="E129" s="16">
        <v>0</v>
      </c>
      <c r="F129" s="16">
        <v>0</v>
      </c>
      <c r="G129" s="16">
        <v>0</v>
      </c>
      <c r="H129" s="16">
        <f>95000000+38000000+8000000+2500000</f>
        <v>143500000</v>
      </c>
      <c r="I129" s="16">
        <v>80000000</v>
      </c>
      <c r="J129" s="16">
        <f t="shared" si="23"/>
        <v>63500000</v>
      </c>
      <c r="K129" s="114">
        <f t="shared" si="28"/>
        <v>106894486</v>
      </c>
      <c r="L129" s="16">
        <v>101822595</v>
      </c>
      <c r="M129" s="138">
        <f t="shared" si="27"/>
        <v>0.9525523608392672</v>
      </c>
      <c r="N129" s="112">
        <f>+K129-[1]Julio!D117</f>
        <v>15648886</v>
      </c>
    </row>
    <row r="130" spans="1:14" s="27" customFormat="1" ht="24.95" customHeight="1" x14ac:dyDescent="0.25">
      <c r="A130" s="137">
        <v>204913</v>
      </c>
      <c r="B130" s="108">
        <v>10</v>
      </c>
      <c r="C130" s="109" t="s">
        <v>78</v>
      </c>
      <c r="D130" s="16">
        <v>0</v>
      </c>
      <c r="E130" s="16">
        <v>0</v>
      </c>
      <c r="F130" s="16">
        <v>0</v>
      </c>
      <c r="G130" s="16">
        <v>0</v>
      </c>
      <c r="H130" s="16">
        <f>215000000+123000000+365000000</f>
        <v>703000000</v>
      </c>
      <c r="I130" s="16">
        <f>300000000+145000000+17092000</f>
        <v>462092000</v>
      </c>
      <c r="J130" s="16">
        <f t="shared" si="23"/>
        <v>240908000</v>
      </c>
      <c r="K130" s="114">
        <f t="shared" si="28"/>
        <v>240908000</v>
      </c>
      <c r="L130" s="16">
        <v>240908000</v>
      </c>
      <c r="M130" s="138">
        <f>+L130/K130</f>
        <v>1</v>
      </c>
      <c r="N130" s="112"/>
    </row>
    <row r="131" spans="1:14" s="27" customFormat="1" ht="24.95" customHeight="1" x14ac:dyDescent="0.25">
      <c r="A131" s="137">
        <v>204913</v>
      </c>
      <c r="B131" s="108">
        <v>20</v>
      </c>
      <c r="C131" s="109" t="s">
        <v>78</v>
      </c>
      <c r="D131" s="16">
        <v>50616901</v>
      </c>
      <c r="E131" s="16">
        <v>0</v>
      </c>
      <c r="F131" s="16">
        <v>0</v>
      </c>
      <c r="G131" s="16">
        <v>0</v>
      </c>
      <c r="H131" s="16">
        <f>100000000+27000000+5000000+183100000+638625+44000000</f>
        <v>359738625</v>
      </c>
      <c r="I131" s="16">
        <v>200000000</v>
      </c>
      <c r="J131" s="16">
        <f t="shared" si="23"/>
        <v>159738625</v>
      </c>
      <c r="K131" s="114">
        <f t="shared" si="28"/>
        <v>210355526</v>
      </c>
      <c r="L131" s="16">
        <v>210355526</v>
      </c>
      <c r="M131" s="138">
        <f t="shared" si="27"/>
        <v>1</v>
      </c>
      <c r="N131" s="112">
        <f>+K131-[1]Julio!D118</f>
        <v>-241550314</v>
      </c>
    </row>
    <row r="132" spans="1:14" s="27" customFormat="1" ht="24.95" customHeight="1" x14ac:dyDescent="0.25">
      <c r="A132" s="137">
        <v>20410</v>
      </c>
      <c r="B132" s="108"/>
      <c r="C132" s="109" t="s">
        <v>79</v>
      </c>
      <c r="D132" s="16">
        <f>SUM(D133:D135)</f>
        <v>2623527788</v>
      </c>
      <c r="E132" s="16">
        <f t="shared" ref="E132:G132" si="38">SUM(E133:E135)</f>
        <v>0</v>
      </c>
      <c r="F132" s="16">
        <f t="shared" si="38"/>
        <v>0</v>
      </c>
      <c r="G132" s="16">
        <f t="shared" si="38"/>
        <v>0</v>
      </c>
      <c r="H132" s="16">
        <f>SUM(H133:H135)</f>
        <v>261167262</v>
      </c>
      <c r="I132" s="16">
        <f>SUM(I133:I135)</f>
        <v>147969798</v>
      </c>
      <c r="J132" s="16">
        <f t="shared" si="23"/>
        <v>113197464</v>
      </c>
      <c r="K132" s="16">
        <f>D132+J132</f>
        <v>2736725252</v>
      </c>
      <c r="L132" s="16">
        <f>SUM(L133:L135)</f>
        <v>2735884492</v>
      </c>
      <c r="M132" s="138">
        <f t="shared" si="27"/>
        <v>0.99969278611384704</v>
      </c>
      <c r="N132" s="112">
        <f>+K132-[1]Julio!D119</f>
        <v>-33994595</v>
      </c>
    </row>
    <row r="133" spans="1:14" s="27" customFormat="1" ht="24.95" customHeight="1" x14ac:dyDescent="0.25">
      <c r="A133" s="137">
        <v>204101</v>
      </c>
      <c r="B133" s="108">
        <v>20</v>
      </c>
      <c r="C133" s="109" t="s">
        <v>153</v>
      </c>
      <c r="D133" s="16">
        <v>99084077</v>
      </c>
      <c r="E133" s="16">
        <v>0</v>
      </c>
      <c r="F133" s="16">
        <v>0</v>
      </c>
      <c r="G133" s="16">
        <v>0</v>
      </c>
      <c r="H133" s="16">
        <f>20000000+10000000+1073500</f>
        <v>31073500</v>
      </c>
      <c r="I133" s="16">
        <f>9000000+969798</f>
        <v>9969798</v>
      </c>
      <c r="J133" s="16">
        <f t="shared" si="23"/>
        <v>21103702</v>
      </c>
      <c r="K133" s="16">
        <f t="shared" si="28"/>
        <v>120187779</v>
      </c>
      <c r="L133" s="16">
        <v>119074400</v>
      </c>
      <c r="M133" s="138">
        <f t="shared" si="27"/>
        <v>0.99073633767706115</v>
      </c>
      <c r="N133" s="112">
        <f>+K133-[1]Julio!D120</f>
        <v>95083233</v>
      </c>
    </row>
    <row r="134" spans="1:14" s="27" customFormat="1" ht="24.95" customHeight="1" x14ac:dyDescent="0.25">
      <c r="A134" s="137">
        <v>204102</v>
      </c>
      <c r="B134" s="108">
        <v>10</v>
      </c>
      <c r="C134" s="109" t="s">
        <v>80</v>
      </c>
      <c r="D134" s="16">
        <v>0</v>
      </c>
      <c r="E134" s="16">
        <v>0</v>
      </c>
      <c r="F134" s="16">
        <v>0</v>
      </c>
      <c r="G134" s="16">
        <v>0</v>
      </c>
      <c r="H134" s="16">
        <v>83185069</v>
      </c>
      <c r="I134" s="16">
        <v>0</v>
      </c>
      <c r="J134" s="16">
        <f t="shared" si="23"/>
        <v>83185069</v>
      </c>
      <c r="K134" s="16">
        <f t="shared" si="28"/>
        <v>83185069</v>
      </c>
      <c r="L134" s="16">
        <v>82386421</v>
      </c>
      <c r="M134" s="138">
        <f>+L134/K134</f>
        <v>0.99039914242302307</v>
      </c>
      <c r="N134" s="112"/>
    </row>
    <row r="135" spans="1:14" s="27" customFormat="1" ht="24.95" customHeight="1" x14ac:dyDescent="0.25">
      <c r="A135" s="137">
        <v>204102</v>
      </c>
      <c r="B135" s="108">
        <v>20</v>
      </c>
      <c r="C135" s="109" t="s">
        <v>80</v>
      </c>
      <c r="D135" s="16">
        <v>2524443711</v>
      </c>
      <c r="E135" s="16">
        <v>0</v>
      </c>
      <c r="F135" s="16">
        <v>0</v>
      </c>
      <c r="G135" s="16">
        <v>0</v>
      </c>
      <c r="H135" s="16">
        <f>13000000+133908693</f>
        <v>146908693</v>
      </c>
      <c r="I135" s="16">
        <v>138000000</v>
      </c>
      <c r="J135" s="16">
        <f t="shared" si="23"/>
        <v>8908693</v>
      </c>
      <c r="K135" s="16">
        <f t="shared" si="28"/>
        <v>2533352404</v>
      </c>
      <c r="L135" s="16">
        <v>2534423671</v>
      </c>
      <c r="M135" s="138">
        <f t="shared" si="27"/>
        <v>1.0004228653693457</v>
      </c>
      <c r="N135" s="112">
        <f>+K135-[1]Julio!D121</f>
        <v>-212262897</v>
      </c>
    </row>
    <row r="136" spans="1:14" s="27" customFormat="1" ht="24.95" customHeight="1" x14ac:dyDescent="0.25">
      <c r="A136" s="137">
        <v>20411</v>
      </c>
      <c r="B136" s="108"/>
      <c r="C136" s="109" t="s">
        <v>81</v>
      </c>
      <c r="D136" s="16">
        <f>SUM(D137:D140)</f>
        <v>709826467</v>
      </c>
      <c r="E136" s="16">
        <f t="shared" ref="E136:G136" si="39">SUM(E137:E140)</f>
        <v>0</v>
      </c>
      <c r="F136" s="16">
        <f t="shared" si="39"/>
        <v>0</v>
      </c>
      <c r="G136" s="16">
        <f t="shared" si="39"/>
        <v>0</v>
      </c>
      <c r="H136" s="16">
        <f>SUM(H137:H140)</f>
        <v>1805489000</v>
      </c>
      <c r="I136" s="16">
        <f>SUM(I137:I140)</f>
        <v>365092319</v>
      </c>
      <c r="J136" s="16">
        <f t="shared" si="23"/>
        <v>1440396681</v>
      </c>
      <c r="K136" s="16">
        <f>D136+J136</f>
        <v>2150223148</v>
      </c>
      <c r="L136" s="16">
        <f>SUM(L137:L140)</f>
        <v>1934888533.0599999</v>
      </c>
      <c r="M136" s="138">
        <f t="shared" si="27"/>
        <v>0.89985475919543956</v>
      </c>
      <c r="N136" s="112">
        <f>+K136-[1]Julio!D122</f>
        <v>270243957</v>
      </c>
    </row>
    <row r="137" spans="1:14" s="27" customFormat="1" ht="35.25" customHeight="1" x14ac:dyDescent="0.25">
      <c r="A137" s="137">
        <v>204111</v>
      </c>
      <c r="B137" s="108">
        <v>10</v>
      </c>
      <c r="C137" s="109" t="s">
        <v>82</v>
      </c>
      <c r="D137" s="16">
        <v>0</v>
      </c>
      <c r="E137" s="16">
        <v>0</v>
      </c>
      <c r="F137" s="16">
        <v>0</v>
      </c>
      <c r="G137" s="16">
        <v>0</v>
      </c>
      <c r="H137" s="16">
        <v>50058000</v>
      </c>
      <c r="I137" s="16">
        <v>25000000</v>
      </c>
      <c r="J137" s="16">
        <f t="shared" si="23"/>
        <v>25058000</v>
      </c>
      <c r="K137" s="16">
        <f t="shared" si="28"/>
        <v>25058000</v>
      </c>
      <c r="L137" s="16">
        <v>6628653</v>
      </c>
      <c r="M137" s="138">
        <f>+L137/K137</f>
        <v>0.26453240482081569</v>
      </c>
      <c r="N137" s="112"/>
    </row>
    <row r="138" spans="1:14" s="27" customFormat="1" ht="35.25" customHeight="1" x14ac:dyDescent="0.25">
      <c r="A138" s="137">
        <v>204111</v>
      </c>
      <c r="B138" s="108">
        <v>20</v>
      </c>
      <c r="C138" s="109" t="s">
        <v>82</v>
      </c>
      <c r="D138" s="16">
        <v>100440233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f t="shared" si="23"/>
        <v>0</v>
      </c>
      <c r="K138" s="16">
        <f t="shared" si="28"/>
        <v>100440233</v>
      </c>
      <c r="L138" s="16">
        <v>91693392</v>
      </c>
      <c r="M138" s="138">
        <f t="shared" si="27"/>
        <v>0.91291496705309316</v>
      </c>
      <c r="N138" s="112">
        <f>+K138-[1]Julio!D123</f>
        <v>-50619259</v>
      </c>
    </row>
    <row r="139" spans="1:14" s="27" customFormat="1" ht="32.25" customHeight="1" x14ac:dyDescent="0.25">
      <c r="A139" s="137">
        <v>204112</v>
      </c>
      <c r="B139" s="108">
        <v>10</v>
      </c>
      <c r="C139" s="109" t="s">
        <v>83</v>
      </c>
      <c r="D139" s="16">
        <v>0</v>
      </c>
      <c r="E139" s="16">
        <v>0</v>
      </c>
      <c r="F139" s="16">
        <v>0</v>
      </c>
      <c r="G139" s="16">
        <v>0</v>
      </c>
      <c r="H139" s="16">
        <v>784431000</v>
      </c>
      <c r="I139" s="16">
        <f>252000000+87018819</f>
        <v>339018819</v>
      </c>
      <c r="J139" s="16">
        <f t="shared" ref="J139:J199" si="40">E139-F139-G139+H139-I139</f>
        <v>445412181</v>
      </c>
      <c r="K139" s="16">
        <f t="shared" si="28"/>
        <v>445412181</v>
      </c>
      <c r="L139" s="16">
        <v>330134761</v>
      </c>
      <c r="M139" s="138">
        <f>+L139/K139</f>
        <v>0.74118934120483781</v>
      </c>
      <c r="N139" s="112"/>
    </row>
    <row r="140" spans="1:14" s="27" customFormat="1" ht="32.25" customHeight="1" x14ac:dyDescent="0.25">
      <c r="A140" s="137">
        <v>204112</v>
      </c>
      <c r="B140" s="108">
        <v>20</v>
      </c>
      <c r="C140" s="109" t="s">
        <v>83</v>
      </c>
      <c r="D140" s="16">
        <v>609386234</v>
      </c>
      <c r="E140" s="16">
        <v>0</v>
      </c>
      <c r="F140" s="16">
        <v>0</v>
      </c>
      <c r="G140" s="16">
        <v>0</v>
      </c>
      <c r="H140" s="16">
        <f>200000000+190000000+50000000+21000000+210000000+300000000</f>
        <v>971000000</v>
      </c>
      <c r="I140" s="16">
        <v>1073500</v>
      </c>
      <c r="J140" s="16">
        <f t="shared" si="40"/>
        <v>969926500</v>
      </c>
      <c r="K140" s="16">
        <f>D140+J140</f>
        <v>1579312734</v>
      </c>
      <c r="L140" s="16">
        <v>1506431727.0599999</v>
      </c>
      <c r="M140" s="138">
        <f t="shared" si="27"/>
        <v>0.95385270733845673</v>
      </c>
      <c r="N140" s="112">
        <f>+K140-[1]Julio!D124</f>
        <v>-149606965</v>
      </c>
    </row>
    <row r="141" spans="1:14" s="27" customFormat="1" ht="24.95" customHeight="1" x14ac:dyDescent="0.25">
      <c r="A141" s="137">
        <v>20414</v>
      </c>
      <c r="B141" s="108">
        <v>10</v>
      </c>
      <c r="C141" s="109" t="s">
        <v>84</v>
      </c>
      <c r="D141" s="16">
        <v>0</v>
      </c>
      <c r="E141" s="16">
        <v>0</v>
      </c>
      <c r="F141" s="16">
        <v>0</v>
      </c>
      <c r="G141" s="16">
        <v>0</v>
      </c>
      <c r="H141" s="16">
        <v>100400000</v>
      </c>
      <c r="I141" s="16">
        <f>80000000+19074250</f>
        <v>99074250</v>
      </c>
      <c r="J141" s="16">
        <f t="shared" si="40"/>
        <v>1325750</v>
      </c>
      <c r="K141" s="114">
        <f t="shared" si="28"/>
        <v>1325750</v>
      </c>
      <c r="L141" s="16">
        <v>1325750</v>
      </c>
      <c r="M141" s="138">
        <f>+L141/K141</f>
        <v>1</v>
      </c>
      <c r="N141" s="112"/>
    </row>
    <row r="142" spans="1:14" s="27" customFormat="1" ht="24.95" customHeight="1" x14ac:dyDescent="0.25">
      <c r="A142" s="137">
        <v>20414</v>
      </c>
      <c r="B142" s="108">
        <v>20</v>
      </c>
      <c r="C142" s="109" t="s">
        <v>84</v>
      </c>
      <c r="D142" s="16">
        <v>1922539</v>
      </c>
      <c r="E142" s="16">
        <v>0</v>
      </c>
      <c r="F142" s="16">
        <v>0</v>
      </c>
      <c r="G142" s="16">
        <v>0</v>
      </c>
      <c r="H142" s="16">
        <f>13000000+1000000</f>
        <v>14000000</v>
      </c>
      <c r="I142" s="16">
        <v>5653686</v>
      </c>
      <c r="J142" s="16">
        <f t="shared" si="40"/>
        <v>8346314</v>
      </c>
      <c r="K142" s="114">
        <f>D142+J142</f>
        <v>10268853</v>
      </c>
      <c r="L142" s="16">
        <v>3757304</v>
      </c>
      <c r="M142" s="138">
        <f t="shared" si="27"/>
        <v>0.36589325020038754</v>
      </c>
      <c r="N142" s="112">
        <f>+K142-[1]Julio!D125</f>
        <v>-9811182</v>
      </c>
    </row>
    <row r="143" spans="1:14" s="27" customFormat="1" ht="38.25" customHeight="1" x14ac:dyDescent="0.25">
      <c r="A143" s="137">
        <v>20421</v>
      </c>
      <c r="B143" s="108"/>
      <c r="C143" s="109" t="s">
        <v>85</v>
      </c>
      <c r="D143" s="16">
        <f>SUM(D144:D147)</f>
        <v>591627509</v>
      </c>
      <c r="E143" s="16">
        <f>SUM(E144:E147)</f>
        <v>0</v>
      </c>
      <c r="F143" s="16">
        <f>SUM(F144:F147)</f>
        <v>0</v>
      </c>
      <c r="G143" s="16">
        <f t="shared" ref="G143" si="41">SUM(G144:G147)</f>
        <v>0</v>
      </c>
      <c r="H143" s="16">
        <f>SUM(H144:H147)</f>
        <v>100000000</v>
      </c>
      <c r="I143" s="16">
        <f>SUM(I144:I147)</f>
        <v>118485095</v>
      </c>
      <c r="J143" s="16">
        <f t="shared" si="40"/>
        <v>-18485095</v>
      </c>
      <c r="K143" s="16">
        <f>D143+J143</f>
        <v>573142414</v>
      </c>
      <c r="L143" s="16">
        <f>SUM(L144:L147)</f>
        <v>562475052</v>
      </c>
      <c r="M143" s="138">
        <f t="shared" si="27"/>
        <v>0.98138793825159132</v>
      </c>
      <c r="N143" s="112">
        <f>+K143-[1]Julio!D126</f>
        <v>-200125034</v>
      </c>
    </row>
    <row r="144" spans="1:14" s="27" customFormat="1" ht="24.95" customHeight="1" x14ac:dyDescent="0.25">
      <c r="A144" s="137">
        <v>204213</v>
      </c>
      <c r="B144" s="108">
        <v>20</v>
      </c>
      <c r="C144" s="109" t="s">
        <v>139</v>
      </c>
      <c r="D144" s="16">
        <v>36162072</v>
      </c>
      <c r="E144" s="16">
        <v>0</v>
      </c>
      <c r="F144" s="16">
        <v>0</v>
      </c>
      <c r="G144" s="16">
        <v>0</v>
      </c>
      <c r="H144" s="16">
        <v>0</v>
      </c>
      <c r="I144" s="16">
        <f>15000000+8018000</f>
        <v>23018000</v>
      </c>
      <c r="J144" s="16">
        <f t="shared" si="40"/>
        <v>-23018000</v>
      </c>
      <c r="K144" s="16">
        <f t="shared" si="28"/>
        <v>13144072</v>
      </c>
      <c r="L144" s="16">
        <v>13052000</v>
      </c>
      <c r="M144" s="138">
        <f t="shared" si="27"/>
        <v>0.99299516922914</v>
      </c>
      <c r="N144" s="112"/>
    </row>
    <row r="145" spans="1:51" s="27" customFormat="1" ht="24.95" customHeight="1" x14ac:dyDescent="0.25">
      <c r="A145" s="137">
        <v>204214</v>
      </c>
      <c r="B145" s="108">
        <v>10</v>
      </c>
      <c r="C145" s="109" t="s">
        <v>86</v>
      </c>
      <c r="D145" s="16">
        <v>0</v>
      </c>
      <c r="E145" s="16">
        <v>0</v>
      </c>
      <c r="F145" s="16">
        <v>0</v>
      </c>
      <c r="G145" s="16">
        <v>0</v>
      </c>
      <c r="H145" s="16">
        <v>70000000</v>
      </c>
      <c r="I145" s="16">
        <v>0</v>
      </c>
      <c r="J145" s="16">
        <f t="shared" si="40"/>
        <v>70000000</v>
      </c>
      <c r="K145" s="114">
        <f t="shared" si="28"/>
        <v>70000000</v>
      </c>
      <c r="L145" s="16">
        <v>70000000</v>
      </c>
      <c r="M145" s="138">
        <f>+L145/K145</f>
        <v>1</v>
      </c>
      <c r="N145" s="112"/>
    </row>
    <row r="146" spans="1:51" s="27" customFormat="1" ht="24.95" customHeight="1" x14ac:dyDescent="0.25">
      <c r="A146" s="137">
        <v>204214</v>
      </c>
      <c r="B146" s="108">
        <v>20</v>
      </c>
      <c r="C146" s="109" t="s">
        <v>86</v>
      </c>
      <c r="D146" s="16">
        <v>464081942</v>
      </c>
      <c r="E146" s="16">
        <v>0</v>
      </c>
      <c r="F146" s="16">
        <v>0</v>
      </c>
      <c r="G146" s="16">
        <v>0</v>
      </c>
      <c r="H146" s="16">
        <v>0</v>
      </c>
      <c r="I146" s="16">
        <f>30000000+30000000</f>
        <v>60000000</v>
      </c>
      <c r="J146" s="16">
        <f t="shared" si="40"/>
        <v>-60000000</v>
      </c>
      <c r="K146" s="114">
        <f t="shared" si="28"/>
        <v>404081942</v>
      </c>
      <c r="L146" s="16">
        <v>393648521</v>
      </c>
      <c r="M146" s="138">
        <f t="shared" si="27"/>
        <v>0.97417993749396503</v>
      </c>
      <c r="N146" s="112" t="e">
        <f>+K146-[1]Julio!D127</f>
        <v>#REF!</v>
      </c>
    </row>
    <row r="147" spans="1:51" s="27" customFormat="1" ht="24.95" customHeight="1" x14ac:dyDescent="0.25">
      <c r="A147" s="137">
        <v>204215</v>
      </c>
      <c r="B147" s="108">
        <v>20</v>
      </c>
      <c r="C147" s="109" t="s">
        <v>140</v>
      </c>
      <c r="D147" s="16">
        <v>91383495</v>
      </c>
      <c r="E147" s="16">
        <v>0</v>
      </c>
      <c r="F147" s="16">
        <v>0</v>
      </c>
      <c r="G147" s="16">
        <v>0</v>
      </c>
      <c r="H147" s="16">
        <v>30000000</v>
      </c>
      <c r="I147" s="16">
        <v>35467095</v>
      </c>
      <c r="J147" s="16">
        <f t="shared" si="40"/>
        <v>-5467095</v>
      </c>
      <c r="K147" s="114">
        <f t="shared" si="28"/>
        <v>85916400</v>
      </c>
      <c r="L147" s="16">
        <v>85774531</v>
      </c>
      <c r="M147" s="138">
        <f t="shared" si="27"/>
        <v>0.99834875530166534</v>
      </c>
      <c r="N147" s="112">
        <f>+K147-[1]Julio!D128</f>
        <v>-516469680</v>
      </c>
    </row>
    <row r="148" spans="1:51" s="27" customFormat="1" ht="24.95" customHeight="1" x14ac:dyDescent="0.25">
      <c r="A148" s="137">
        <v>20422</v>
      </c>
      <c r="B148" s="108"/>
      <c r="C148" s="109" t="s">
        <v>141</v>
      </c>
      <c r="D148" s="16">
        <f>+D149</f>
        <v>512296</v>
      </c>
      <c r="E148" s="16">
        <f t="shared" ref="E148:I148" si="42">+E149</f>
        <v>0</v>
      </c>
      <c r="F148" s="16">
        <f t="shared" si="42"/>
        <v>0</v>
      </c>
      <c r="G148" s="16">
        <f t="shared" si="42"/>
        <v>0</v>
      </c>
      <c r="H148" s="16">
        <f t="shared" si="42"/>
        <v>0</v>
      </c>
      <c r="I148" s="16">
        <f t="shared" si="42"/>
        <v>0</v>
      </c>
      <c r="J148" s="16">
        <f t="shared" si="40"/>
        <v>0</v>
      </c>
      <c r="K148" s="16">
        <f t="shared" si="28"/>
        <v>512296</v>
      </c>
      <c r="L148" s="16">
        <f t="shared" ref="L148" si="43">+L149</f>
        <v>0</v>
      </c>
      <c r="M148" s="138">
        <f t="shared" si="27"/>
        <v>0</v>
      </c>
      <c r="N148" s="112"/>
    </row>
    <row r="149" spans="1:51" s="27" customFormat="1" ht="24.95" customHeight="1" x14ac:dyDescent="0.25">
      <c r="A149" s="137">
        <v>204221</v>
      </c>
      <c r="B149" s="108">
        <v>20</v>
      </c>
      <c r="C149" s="109" t="s">
        <v>142</v>
      </c>
      <c r="D149" s="16">
        <v>512296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f t="shared" si="40"/>
        <v>0</v>
      </c>
      <c r="K149" s="16">
        <f t="shared" si="28"/>
        <v>512296</v>
      </c>
      <c r="L149" s="16">
        <v>0</v>
      </c>
      <c r="M149" s="138">
        <f t="shared" si="27"/>
        <v>0</v>
      </c>
      <c r="N149" s="112"/>
    </row>
    <row r="150" spans="1:51" s="27" customFormat="1" ht="34.5" customHeight="1" x14ac:dyDescent="0.25">
      <c r="A150" s="137">
        <v>20441</v>
      </c>
      <c r="B150" s="108"/>
      <c r="C150" s="109" t="s">
        <v>87</v>
      </c>
      <c r="D150" s="16">
        <f>SUM(D151:D152)</f>
        <v>969070164</v>
      </c>
      <c r="E150" s="16">
        <f t="shared" ref="E150:G150" si="44">SUM(E151:E152)</f>
        <v>0</v>
      </c>
      <c r="F150" s="16">
        <f t="shared" si="44"/>
        <v>0</v>
      </c>
      <c r="G150" s="16">
        <f t="shared" si="44"/>
        <v>0</v>
      </c>
      <c r="H150" s="16">
        <f>SUM(H151:H152)</f>
        <v>170400000</v>
      </c>
      <c r="I150" s="16">
        <f>SUM(I151:I152)</f>
        <v>30925307</v>
      </c>
      <c r="J150" s="16">
        <f t="shared" si="40"/>
        <v>139474693</v>
      </c>
      <c r="K150" s="16">
        <f t="shared" si="28"/>
        <v>1108544857</v>
      </c>
      <c r="L150" s="16">
        <f>SUM(L151:L152)</f>
        <v>1084261563</v>
      </c>
      <c r="M150" s="138">
        <f t="shared" si="27"/>
        <v>0.97809444169384663</v>
      </c>
      <c r="N150" s="112">
        <f>+K150-[1]Julio!D132</f>
        <v>-32156080</v>
      </c>
    </row>
    <row r="151" spans="1:51" s="27" customFormat="1" ht="36" customHeight="1" x14ac:dyDescent="0.25">
      <c r="A151" s="137">
        <v>2044113</v>
      </c>
      <c r="B151" s="108">
        <v>10</v>
      </c>
      <c r="C151" s="109" t="s">
        <v>87</v>
      </c>
      <c r="D151" s="16">
        <v>0</v>
      </c>
      <c r="E151" s="16">
        <v>0</v>
      </c>
      <c r="F151" s="16">
        <v>0</v>
      </c>
      <c r="G151" s="16">
        <v>0</v>
      </c>
      <c r="H151" s="16">
        <f>100400000+70000000</f>
        <v>170400000</v>
      </c>
      <c r="I151" s="16">
        <v>0</v>
      </c>
      <c r="J151" s="16">
        <f t="shared" si="40"/>
        <v>170400000</v>
      </c>
      <c r="K151" s="16">
        <f t="shared" si="28"/>
        <v>170400000</v>
      </c>
      <c r="L151" s="16">
        <v>170400000</v>
      </c>
      <c r="M151" s="138">
        <f>+L151/K151</f>
        <v>1</v>
      </c>
      <c r="N151" s="112"/>
    </row>
    <row r="152" spans="1:51" s="27" customFormat="1" ht="33.75" customHeight="1" x14ac:dyDescent="0.25">
      <c r="A152" s="137">
        <v>2044113</v>
      </c>
      <c r="B152" s="108">
        <v>20</v>
      </c>
      <c r="C152" s="109" t="s">
        <v>87</v>
      </c>
      <c r="D152" s="16">
        <v>969070164</v>
      </c>
      <c r="E152" s="16">
        <v>0</v>
      </c>
      <c r="F152" s="16">
        <v>0</v>
      </c>
      <c r="G152" s="16">
        <v>0</v>
      </c>
      <c r="H152" s="16">
        <v>0</v>
      </c>
      <c r="I152" s="16">
        <f>7000000+10000000+13925307</f>
        <v>30925307</v>
      </c>
      <c r="J152" s="16">
        <f t="shared" si="40"/>
        <v>-30925307</v>
      </c>
      <c r="K152" s="16">
        <f t="shared" si="28"/>
        <v>938144857</v>
      </c>
      <c r="L152" s="16">
        <v>913861563</v>
      </c>
      <c r="M152" s="138">
        <f t="shared" si="27"/>
        <v>0.97411562423562914</v>
      </c>
      <c r="N152" s="112">
        <f>+K152-[1]Julio!D133</f>
        <v>-202556080</v>
      </c>
    </row>
    <row r="153" spans="1:51" s="27" customFormat="1" ht="24.95" customHeight="1" x14ac:dyDescent="0.25">
      <c r="A153" s="137">
        <v>3</v>
      </c>
      <c r="B153" s="108"/>
      <c r="C153" s="109" t="s">
        <v>88</v>
      </c>
      <c r="D153" s="16">
        <f>+D154+D158</f>
        <v>38312220000</v>
      </c>
      <c r="E153" s="16">
        <f t="shared" ref="E153:I153" si="45">+E154+E158</f>
        <v>0</v>
      </c>
      <c r="F153" s="16">
        <f t="shared" si="45"/>
        <v>0</v>
      </c>
      <c r="G153" s="16">
        <f t="shared" si="45"/>
        <v>0</v>
      </c>
      <c r="H153" s="16">
        <f t="shared" si="45"/>
        <v>2848950000</v>
      </c>
      <c r="I153" s="16">
        <f t="shared" si="45"/>
        <v>16426960000</v>
      </c>
      <c r="J153" s="16">
        <f t="shared" si="40"/>
        <v>-13578010000</v>
      </c>
      <c r="K153" s="16">
        <f>D153+J153</f>
        <v>24734210000</v>
      </c>
      <c r="L153" s="16">
        <f>+L154+L158+L161</f>
        <v>22119960502</v>
      </c>
      <c r="M153" s="138">
        <f t="shared" si="27"/>
        <v>0.89430632722856318</v>
      </c>
      <c r="N153" s="112">
        <f>+K153-[1]Julio!D134</f>
        <v>8751410000</v>
      </c>
      <c r="AY153" s="113"/>
    </row>
    <row r="154" spans="1:51" s="27" customFormat="1" ht="36" customHeight="1" x14ac:dyDescent="0.25">
      <c r="A154" s="137">
        <v>32</v>
      </c>
      <c r="B154" s="108"/>
      <c r="C154" s="109" t="s">
        <v>89</v>
      </c>
      <c r="D154" s="16">
        <f>+D155</f>
        <v>6885260000</v>
      </c>
      <c r="E154" s="16">
        <f t="shared" ref="E154:I154" si="46">+E155</f>
        <v>0</v>
      </c>
      <c r="F154" s="16">
        <f t="shared" si="46"/>
        <v>0</v>
      </c>
      <c r="G154" s="16">
        <f t="shared" si="46"/>
        <v>0</v>
      </c>
      <c r="H154" s="16">
        <f t="shared" si="46"/>
        <v>0</v>
      </c>
      <c r="I154" s="16">
        <f t="shared" si="46"/>
        <v>0</v>
      </c>
      <c r="J154" s="16">
        <f t="shared" si="40"/>
        <v>0</v>
      </c>
      <c r="K154" s="16">
        <f t="shared" si="28"/>
        <v>6885260000</v>
      </c>
      <c r="L154" s="16">
        <f t="shared" ref="L154" si="47">+L155</f>
        <v>4443498425</v>
      </c>
      <c r="M154" s="138">
        <f t="shared" si="27"/>
        <v>0.64536392598100867</v>
      </c>
      <c r="N154" s="112">
        <f>+K154-[1]Julio!D135</f>
        <v>-206540000</v>
      </c>
    </row>
    <row r="155" spans="1:51" s="27" customFormat="1" ht="36" customHeight="1" x14ac:dyDescent="0.25">
      <c r="A155" s="137">
        <v>321</v>
      </c>
      <c r="B155" s="108"/>
      <c r="C155" s="109" t="s">
        <v>90</v>
      </c>
      <c r="D155" s="16">
        <f>D156+D157</f>
        <v>6885260000</v>
      </c>
      <c r="E155" s="16">
        <f t="shared" ref="E155:I155" si="48">E156+E157</f>
        <v>0</v>
      </c>
      <c r="F155" s="16">
        <f t="shared" si="48"/>
        <v>0</v>
      </c>
      <c r="G155" s="16">
        <f t="shared" si="48"/>
        <v>0</v>
      </c>
      <c r="H155" s="16">
        <f t="shared" si="48"/>
        <v>0</v>
      </c>
      <c r="I155" s="16">
        <f t="shared" si="48"/>
        <v>0</v>
      </c>
      <c r="J155" s="16">
        <f t="shared" si="40"/>
        <v>0</v>
      </c>
      <c r="K155" s="16">
        <f>D155+J155</f>
        <v>6885260000</v>
      </c>
      <c r="L155" s="16">
        <f>SUM(L156:L157)</f>
        <v>4443498425</v>
      </c>
      <c r="M155" s="138">
        <f t="shared" si="27"/>
        <v>0.64536392598100867</v>
      </c>
      <c r="N155" s="112">
        <f>+K155-[1]Julio!D136</f>
        <v>-206540000</v>
      </c>
    </row>
    <row r="156" spans="1:51" s="27" customFormat="1" ht="24.95" customHeight="1" x14ac:dyDescent="0.25">
      <c r="A156" s="137">
        <v>3211</v>
      </c>
      <c r="B156" s="108">
        <v>11</v>
      </c>
      <c r="C156" s="109" t="s">
        <v>91</v>
      </c>
      <c r="D156" s="16">
        <v>1374900000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f t="shared" si="40"/>
        <v>0</v>
      </c>
      <c r="K156" s="16">
        <f t="shared" si="28"/>
        <v>1374900000</v>
      </c>
      <c r="L156" s="16">
        <v>1374900000</v>
      </c>
      <c r="M156" s="138">
        <f t="shared" si="27"/>
        <v>1</v>
      </c>
      <c r="N156" s="112">
        <f>+K156-[1]Julio!D137</f>
        <v>-4300800000</v>
      </c>
    </row>
    <row r="157" spans="1:51" s="27" customFormat="1" ht="24.95" customHeight="1" x14ac:dyDescent="0.25">
      <c r="A157" s="137">
        <v>3211</v>
      </c>
      <c r="B157" s="108">
        <v>20</v>
      </c>
      <c r="C157" s="109" t="s">
        <v>91</v>
      </c>
      <c r="D157" s="16">
        <v>5510360000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f t="shared" si="40"/>
        <v>0</v>
      </c>
      <c r="K157" s="16">
        <f t="shared" si="28"/>
        <v>5510360000</v>
      </c>
      <c r="L157" s="16">
        <v>3068598425</v>
      </c>
      <c r="M157" s="138">
        <f t="shared" si="27"/>
        <v>0.55687803065498442</v>
      </c>
      <c r="N157" s="112">
        <f>+K157-[1]Julio!D137</f>
        <v>-165340000</v>
      </c>
    </row>
    <row r="158" spans="1:51" s="27" customFormat="1" ht="24.95" customHeight="1" x14ac:dyDescent="0.25">
      <c r="A158" s="137">
        <v>36</v>
      </c>
      <c r="B158" s="108"/>
      <c r="C158" s="109" t="s">
        <v>92</v>
      </c>
      <c r="D158" s="16">
        <f>+D159+D161</f>
        <v>31426960000</v>
      </c>
      <c r="E158" s="16">
        <f t="shared" ref="E158:I158" si="49">+E159+E161</f>
        <v>0</v>
      </c>
      <c r="F158" s="16">
        <f t="shared" si="49"/>
        <v>0</v>
      </c>
      <c r="G158" s="16">
        <f t="shared" si="49"/>
        <v>0</v>
      </c>
      <c r="H158" s="16">
        <f t="shared" si="49"/>
        <v>2848950000</v>
      </c>
      <c r="I158" s="16">
        <f t="shared" si="49"/>
        <v>16426960000</v>
      </c>
      <c r="J158" s="16">
        <f t="shared" si="40"/>
        <v>-13578010000</v>
      </c>
      <c r="K158" s="16">
        <f t="shared" si="28"/>
        <v>17848950000</v>
      </c>
      <c r="L158" s="16">
        <f>+L159+L161</f>
        <v>17676462077</v>
      </c>
      <c r="M158" s="138">
        <f t="shared" si="27"/>
        <v>0.99033624258009578</v>
      </c>
      <c r="N158" s="112">
        <f>+K158-[1]Julio!D139</f>
        <v>8957950000</v>
      </c>
    </row>
    <row r="159" spans="1:51" s="27" customFormat="1" ht="24.95" customHeight="1" x14ac:dyDescent="0.25">
      <c r="A159" s="137">
        <v>361</v>
      </c>
      <c r="B159" s="108"/>
      <c r="C159" s="109" t="s">
        <v>93</v>
      </c>
      <c r="D159" s="16">
        <f>D160</f>
        <v>15000000000</v>
      </c>
      <c r="E159" s="16">
        <f t="shared" ref="E159:I159" si="50">E160</f>
        <v>0</v>
      </c>
      <c r="F159" s="16">
        <f t="shared" si="50"/>
        <v>0</v>
      </c>
      <c r="G159" s="16">
        <f t="shared" si="50"/>
        <v>0</v>
      </c>
      <c r="H159" s="16">
        <f t="shared" si="50"/>
        <v>2848950000</v>
      </c>
      <c r="I159" s="16">
        <f t="shared" si="50"/>
        <v>0</v>
      </c>
      <c r="J159" s="16">
        <f t="shared" si="40"/>
        <v>2848950000</v>
      </c>
      <c r="K159" s="16">
        <f t="shared" si="28"/>
        <v>17848950000</v>
      </c>
      <c r="L159" s="16">
        <f>SUM(L160:L160)</f>
        <v>17676462077</v>
      </c>
      <c r="M159" s="138">
        <f t="shared" si="27"/>
        <v>0.99033624258009578</v>
      </c>
      <c r="N159" s="112">
        <f>+K159-[1]Agosto!D149</f>
        <v>8957950000</v>
      </c>
    </row>
    <row r="160" spans="1:51" s="27" customFormat="1" ht="24.95" customHeight="1" x14ac:dyDescent="0.25">
      <c r="A160" s="137">
        <v>3611</v>
      </c>
      <c r="B160" s="108">
        <v>10</v>
      </c>
      <c r="C160" s="109" t="s">
        <v>93</v>
      </c>
      <c r="D160" s="16">
        <v>15000000000</v>
      </c>
      <c r="E160" s="16">
        <v>0</v>
      </c>
      <c r="F160" s="16">
        <v>0</v>
      </c>
      <c r="G160" s="16">
        <v>0</v>
      </c>
      <c r="H160" s="16">
        <v>2848950000</v>
      </c>
      <c r="I160" s="16">
        <v>0</v>
      </c>
      <c r="J160" s="16">
        <f t="shared" si="40"/>
        <v>2848950000</v>
      </c>
      <c r="K160" s="16">
        <f t="shared" si="28"/>
        <v>17848950000</v>
      </c>
      <c r="L160" s="16">
        <v>17676462077</v>
      </c>
      <c r="M160" s="138">
        <f t="shared" si="27"/>
        <v>0.99033624258009578</v>
      </c>
      <c r="N160" s="112"/>
    </row>
    <row r="161" spans="1:51" s="27" customFormat="1" ht="47.25" customHeight="1" x14ac:dyDescent="0.25">
      <c r="A161" s="137">
        <v>363</v>
      </c>
      <c r="B161" s="108"/>
      <c r="C161" s="109" t="s">
        <v>94</v>
      </c>
      <c r="D161" s="16">
        <f>D162+D163</f>
        <v>16426960000</v>
      </c>
      <c r="E161" s="16">
        <f t="shared" ref="E161:I161" si="51">E162+E163</f>
        <v>0</v>
      </c>
      <c r="F161" s="16">
        <f t="shared" si="51"/>
        <v>0</v>
      </c>
      <c r="G161" s="16">
        <f t="shared" si="51"/>
        <v>0</v>
      </c>
      <c r="H161" s="16">
        <f t="shared" si="51"/>
        <v>0</v>
      </c>
      <c r="I161" s="16">
        <f t="shared" si="51"/>
        <v>16426960000</v>
      </c>
      <c r="J161" s="16">
        <f t="shared" si="40"/>
        <v>-16426960000</v>
      </c>
      <c r="K161" s="16">
        <f t="shared" si="28"/>
        <v>0</v>
      </c>
      <c r="L161" s="16">
        <f t="shared" ref="L161" si="52">+L163</f>
        <v>0</v>
      </c>
      <c r="M161" s="138" t="s">
        <v>155</v>
      </c>
      <c r="N161" s="112"/>
    </row>
    <row r="162" spans="1:51" s="27" customFormat="1" ht="74.25" customHeight="1" x14ac:dyDescent="0.25">
      <c r="A162" s="137">
        <v>36326</v>
      </c>
      <c r="B162" s="108">
        <v>10</v>
      </c>
      <c r="C162" s="115" t="s">
        <v>95</v>
      </c>
      <c r="D162" s="16">
        <v>10000000000</v>
      </c>
      <c r="E162" s="16">
        <v>0</v>
      </c>
      <c r="F162" s="16">
        <v>0</v>
      </c>
      <c r="G162" s="16">
        <v>0</v>
      </c>
      <c r="H162" s="16">
        <v>0</v>
      </c>
      <c r="I162" s="16">
        <f>7894000000+2106000000</f>
        <v>10000000000</v>
      </c>
      <c r="J162" s="16">
        <f t="shared" si="40"/>
        <v>-10000000000</v>
      </c>
      <c r="K162" s="16">
        <f t="shared" si="28"/>
        <v>0</v>
      </c>
      <c r="L162" s="16">
        <v>0</v>
      </c>
      <c r="M162" s="138" t="s">
        <v>155</v>
      </c>
      <c r="N162" s="112"/>
    </row>
    <row r="163" spans="1:51" s="27" customFormat="1" ht="73.5" customHeight="1" thickBot="1" x14ac:dyDescent="0.3">
      <c r="A163" s="139">
        <v>36326</v>
      </c>
      <c r="B163" s="117">
        <v>20</v>
      </c>
      <c r="C163" s="151" t="s">
        <v>95</v>
      </c>
      <c r="D163" s="141">
        <v>6426960000</v>
      </c>
      <c r="E163" s="141">
        <v>0</v>
      </c>
      <c r="F163" s="141">
        <v>0</v>
      </c>
      <c r="G163" s="141">
        <v>0</v>
      </c>
      <c r="H163" s="141">
        <v>0</v>
      </c>
      <c r="I163" s="141">
        <v>6426960000</v>
      </c>
      <c r="J163" s="141">
        <f t="shared" si="40"/>
        <v>-6426960000</v>
      </c>
      <c r="K163" s="141">
        <f t="shared" si="28"/>
        <v>0</v>
      </c>
      <c r="L163" s="141">
        <v>0</v>
      </c>
      <c r="M163" s="142" t="s">
        <v>155</v>
      </c>
      <c r="N163" s="112"/>
    </row>
    <row r="164" spans="1:51" s="27" customFormat="1" ht="38.25" customHeight="1" thickBot="1" x14ac:dyDescent="0.3">
      <c r="A164" s="89" t="s">
        <v>96</v>
      </c>
      <c r="B164" s="90"/>
      <c r="C164" s="119" t="s">
        <v>97</v>
      </c>
      <c r="D164" s="143">
        <f>+D165</f>
        <v>296770295000</v>
      </c>
      <c r="E164" s="143">
        <f t="shared" ref="E164:I166" si="53">+E165</f>
        <v>0</v>
      </c>
      <c r="F164" s="143">
        <f t="shared" si="53"/>
        <v>0</v>
      </c>
      <c r="G164" s="143">
        <f t="shared" si="53"/>
        <v>0</v>
      </c>
      <c r="H164" s="143">
        <f t="shared" si="53"/>
        <v>0</v>
      </c>
      <c r="I164" s="143">
        <f t="shared" si="53"/>
        <v>0</v>
      </c>
      <c r="J164" s="93">
        <f t="shared" si="40"/>
        <v>0</v>
      </c>
      <c r="K164" s="143">
        <f t="shared" si="28"/>
        <v>296770295000</v>
      </c>
      <c r="L164" s="143">
        <f t="shared" ref="L164:L166" si="54">+L165</f>
        <v>273410636389.5</v>
      </c>
      <c r="M164" s="144">
        <f t="shared" si="27"/>
        <v>0.92128707285040101</v>
      </c>
      <c r="N164" s="112">
        <f>+K164-[1]Julio!D154</f>
        <v>122862295000</v>
      </c>
    </row>
    <row r="165" spans="1:51" s="27" customFormat="1" ht="38.25" customHeight="1" x14ac:dyDescent="0.25">
      <c r="A165" s="135">
        <v>7</v>
      </c>
      <c r="B165" s="129"/>
      <c r="C165" s="130" t="s">
        <v>97</v>
      </c>
      <c r="D165" s="132">
        <f>+D166</f>
        <v>296770295000</v>
      </c>
      <c r="E165" s="132">
        <f t="shared" si="53"/>
        <v>0</v>
      </c>
      <c r="F165" s="132">
        <f t="shared" si="53"/>
        <v>0</v>
      </c>
      <c r="G165" s="132">
        <f t="shared" si="53"/>
        <v>0</v>
      </c>
      <c r="H165" s="132">
        <f t="shared" si="53"/>
        <v>0</v>
      </c>
      <c r="I165" s="132">
        <f t="shared" si="53"/>
        <v>0</v>
      </c>
      <c r="J165" s="132">
        <f t="shared" si="40"/>
        <v>0</v>
      </c>
      <c r="K165" s="132">
        <f t="shared" si="28"/>
        <v>296770295000</v>
      </c>
      <c r="L165" s="132">
        <f t="shared" si="54"/>
        <v>273410636389.5</v>
      </c>
      <c r="M165" s="136">
        <f t="shared" si="27"/>
        <v>0.92128707285040101</v>
      </c>
      <c r="N165" s="112">
        <f>+K165-[1]Julio!D155</f>
        <v>122862295000</v>
      </c>
    </row>
    <row r="166" spans="1:51" s="27" customFormat="1" ht="38.25" customHeight="1" x14ac:dyDescent="0.25">
      <c r="A166" s="137">
        <v>71</v>
      </c>
      <c r="B166" s="108"/>
      <c r="C166" s="109" t="s">
        <v>98</v>
      </c>
      <c r="D166" s="16">
        <f>+D167</f>
        <v>296770295000</v>
      </c>
      <c r="E166" s="16">
        <f t="shared" si="53"/>
        <v>0</v>
      </c>
      <c r="F166" s="16">
        <f t="shared" si="53"/>
        <v>0</v>
      </c>
      <c r="G166" s="16">
        <f t="shared" si="53"/>
        <v>0</v>
      </c>
      <c r="H166" s="16">
        <f t="shared" si="53"/>
        <v>0</v>
      </c>
      <c r="I166" s="16">
        <f t="shared" si="53"/>
        <v>0</v>
      </c>
      <c r="J166" s="16">
        <f t="shared" si="40"/>
        <v>0</v>
      </c>
      <c r="K166" s="16">
        <f t="shared" si="28"/>
        <v>296770295000</v>
      </c>
      <c r="L166" s="16">
        <f t="shared" si="54"/>
        <v>273410636389.5</v>
      </c>
      <c r="M166" s="138">
        <f t="shared" si="27"/>
        <v>0.92128707285040101</v>
      </c>
      <c r="N166" s="112">
        <f>+K166-[1]Julio!D156</f>
        <v>122862295000</v>
      </c>
    </row>
    <row r="167" spans="1:51" s="27" customFormat="1" ht="24.95" customHeight="1" thickBot="1" x14ac:dyDescent="0.3">
      <c r="A167" s="139">
        <v>711</v>
      </c>
      <c r="B167" s="117">
        <v>11</v>
      </c>
      <c r="C167" s="118" t="s">
        <v>99</v>
      </c>
      <c r="D167" s="141">
        <v>296770295000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f t="shared" si="40"/>
        <v>0</v>
      </c>
      <c r="K167" s="141">
        <f t="shared" si="28"/>
        <v>296770295000</v>
      </c>
      <c r="L167" s="141">
        <v>273410636389.5</v>
      </c>
      <c r="M167" s="142">
        <f t="shared" si="27"/>
        <v>0.92128707285040101</v>
      </c>
      <c r="N167" s="112">
        <f>+K167-[1]Julio!D158</f>
        <v>194973295000</v>
      </c>
    </row>
    <row r="168" spans="1:51" s="27" customFormat="1" ht="24.95" customHeight="1" thickBot="1" x14ac:dyDescent="0.3">
      <c r="A168" s="89" t="s">
        <v>100</v>
      </c>
      <c r="B168" s="90"/>
      <c r="C168" s="119" t="s">
        <v>101</v>
      </c>
      <c r="D168" s="143">
        <f>+D169+D195+D191</f>
        <v>2818364111869</v>
      </c>
      <c r="E168" s="143">
        <f t="shared" ref="E168:I168" si="55">+E169+E195+E191</f>
        <v>0</v>
      </c>
      <c r="F168" s="143">
        <f t="shared" si="55"/>
        <v>111802000000</v>
      </c>
      <c r="G168" s="143">
        <f t="shared" si="55"/>
        <v>0</v>
      </c>
      <c r="H168" s="143">
        <f t="shared" si="55"/>
        <v>19466138092</v>
      </c>
      <c r="I168" s="143">
        <f t="shared" si="55"/>
        <v>19466138092</v>
      </c>
      <c r="J168" s="143">
        <f t="shared" si="40"/>
        <v>-111802000000</v>
      </c>
      <c r="K168" s="143">
        <f>D168+J168</f>
        <v>2706562111869</v>
      </c>
      <c r="L168" s="143">
        <f>+L169+L191+L195</f>
        <v>2695545561744.75</v>
      </c>
      <c r="M168" s="144">
        <f t="shared" si="27"/>
        <v>0.99592968878270349</v>
      </c>
      <c r="N168" s="112">
        <f>+K168-[1]Julio!D159</f>
        <v>470140948808</v>
      </c>
      <c r="O168" s="112"/>
      <c r="P168" s="112"/>
      <c r="AY168" s="113"/>
    </row>
    <row r="169" spans="1:51" s="27" customFormat="1" ht="69" customHeight="1" x14ac:dyDescent="0.25">
      <c r="A169" s="135">
        <v>113</v>
      </c>
      <c r="B169" s="129"/>
      <c r="C169" s="130" t="s">
        <v>102</v>
      </c>
      <c r="D169" s="132">
        <f>+D170+D181+D186+D189</f>
        <v>2555868193486</v>
      </c>
      <c r="E169" s="132">
        <f t="shared" ref="E169:I169" si="56">+E170+E181+E186+E189</f>
        <v>0</v>
      </c>
      <c r="F169" s="132">
        <f t="shared" si="56"/>
        <v>111802000000</v>
      </c>
      <c r="G169" s="132">
        <f t="shared" si="56"/>
        <v>0</v>
      </c>
      <c r="H169" s="132">
        <f t="shared" si="56"/>
        <v>16674138092</v>
      </c>
      <c r="I169" s="132">
        <f t="shared" si="56"/>
        <v>16674138092</v>
      </c>
      <c r="J169" s="132">
        <f t="shared" si="40"/>
        <v>-111802000000</v>
      </c>
      <c r="K169" s="132">
        <f>D169+J169</f>
        <v>2444066193486</v>
      </c>
      <c r="L169" s="132">
        <f>+L170+L181+L186+L189</f>
        <v>2439439309291.5698</v>
      </c>
      <c r="M169" s="136">
        <f t="shared" si="27"/>
        <v>0.99810689080076398</v>
      </c>
      <c r="N169" s="112">
        <f>+K169-[1]Julio!D160</f>
        <v>396491863667</v>
      </c>
      <c r="O169" s="113"/>
      <c r="P169" s="113"/>
    </row>
    <row r="170" spans="1:51" s="27" customFormat="1" ht="24.95" customHeight="1" x14ac:dyDescent="0.25">
      <c r="A170" s="137">
        <v>113600</v>
      </c>
      <c r="B170" s="108"/>
      <c r="C170" s="109" t="s">
        <v>103</v>
      </c>
      <c r="D170" s="16">
        <f>SUM(D171:D180)</f>
        <v>1487555388794</v>
      </c>
      <c r="E170" s="16">
        <f t="shared" ref="E170:G170" si="57">SUM(E171:E180)</f>
        <v>0</v>
      </c>
      <c r="F170" s="16">
        <f t="shared" si="57"/>
        <v>7000000000</v>
      </c>
      <c r="G170" s="16">
        <f t="shared" si="57"/>
        <v>0</v>
      </c>
      <c r="H170" s="16">
        <f>SUM(H171:H180)</f>
        <v>16674138092</v>
      </c>
      <c r="I170" s="16">
        <f>SUM(I171:I180)</f>
        <v>16674138092</v>
      </c>
      <c r="J170" s="16">
        <f t="shared" si="40"/>
        <v>-7000000000</v>
      </c>
      <c r="K170" s="16">
        <f>SUM(K171:K180)</f>
        <v>1480555388794</v>
      </c>
      <c r="L170" s="16">
        <f>SUM(L171:L180)</f>
        <v>1480551299013</v>
      </c>
      <c r="M170" s="138">
        <f t="shared" si="27"/>
        <v>0.99999723767105853</v>
      </c>
      <c r="N170" s="112">
        <f>+K170-[1]Julio!D161</f>
        <v>-34222811206</v>
      </c>
      <c r="O170" s="113"/>
    </row>
    <row r="171" spans="1:51" s="124" customFormat="1" ht="48.75" customHeight="1" x14ac:dyDescent="0.25">
      <c r="A171" s="140">
        <v>113600125</v>
      </c>
      <c r="B171" s="121">
        <v>10</v>
      </c>
      <c r="C171" s="115" t="s">
        <v>209</v>
      </c>
      <c r="D171" s="16">
        <v>9028000000</v>
      </c>
      <c r="E171" s="16">
        <v>0</v>
      </c>
      <c r="F171" s="16">
        <v>0</v>
      </c>
      <c r="G171" s="16">
        <v>0</v>
      </c>
      <c r="H171" s="16">
        <v>16674138092</v>
      </c>
      <c r="I171" s="16">
        <v>0</v>
      </c>
      <c r="J171" s="16">
        <f t="shared" si="40"/>
        <v>16674138092</v>
      </c>
      <c r="K171" s="16">
        <f t="shared" si="28"/>
        <v>25702138092</v>
      </c>
      <c r="L171" s="16">
        <v>25702138092</v>
      </c>
      <c r="M171" s="138">
        <f t="shared" si="27"/>
        <v>1</v>
      </c>
      <c r="N171" s="122"/>
      <c r="O171" s="123"/>
    </row>
    <row r="172" spans="1:51" s="124" customFormat="1" ht="69" customHeight="1" x14ac:dyDescent="0.25">
      <c r="A172" s="140">
        <v>113600129</v>
      </c>
      <c r="B172" s="121">
        <v>10</v>
      </c>
      <c r="C172" s="159" t="s">
        <v>210</v>
      </c>
      <c r="D172" s="16">
        <v>223398619904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40"/>
        <v>0</v>
      </c>
      <c r="K172" s="16">
        <f t="shared" si="28"/>
        <v>223398619904</v>
      </c>
      <c r="L172" s="16">
        <v>223398619904</v>
      </c>
      <c r="M172" s="138">
        <f t="shared" si="27"/>
        <v>1</v>
      </c>
      <c r="N172" s="122"/>
      <c r="O172" s="123"/>
    </row>
    <row r="173" spans="1:51" s="124" customFormat="1" ht="39.75" customHeight="1" x14ac:dyDescent="0.25">
      <c r="A173" s="140">
        <v>113600130</v>
      </c>
      <c r="B173" s="121">
        <v>10</v>
      </c>
      <c r="C173" s="159" t="s">
        <v>167</v>
      </c>
      <c r="D173" s="16">
        <v>285500000000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f t="shared" si="40"/>
        <v>0</v>
      </c>
      <c r="K173" s="16">
        <f t="shared" si="28"/>
        <v>285500000000</v>
      </c>
      <c r="L173" s="16">
        <v>285500000000</v>
      </c>
      <c r="M173" s="138">
        <f t="shared" si="27"/>
        <v>1</v>
      </c>
      <c r="N173" s="122"/>
      <c r="O173" s="123"/>
    </row>
    <row r="174" spans="1:51" s="124" customFormat="1" ht="43.5" customHeight="1" x14ac:dyDescent="0.25">
      <c r="A174" s="140">
        <v>113600131</v>
      </c>
      <c r="B174" s="121">
        <v>10</v>
      </c>
      <c r="C174" s="159" t="s">
        <v>168</v>
      </c>
      <c r="D174" s="16">
        <v>73513000000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f t="shared" si="40"/>
        <v>0</v>
      </c>
      <c r="K174" s="16">
        <f t="shared" si="28"/>
        <v>73513000000</v>
      </c>
      <c r="L174" s="16">
        <f t="shared" si="28"/>
        <v>73513000000</v>
      </c>
      <c r="M174" s="138">
        <f t="shared" si="27"/>
        <v>1</v>
      </c>
      <c r="N174" s="122"/>
      <c r="O174" s="123"/>
    </row>
    <row r="175" spans="1:51" s="124" customFormat="1" ht="60" customHeight="1" x14ac:dyDescent="0.25">
      <c r="A175" s="140">
        <v>113600132</v>
      </c>
      <c r="B175" s="121">
        <v>10</v>
      </c>
      <c r="C175" s="159" t="s">
        <v>169</v>
      </c>
      <c r="D175" s="16">
        <v>95000000000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f t="shared" si="40"/>
        <v>0</v>
      </c>
      <c r="K175" s="16">
        <f t="shared" si="28"/>
        <v>95000000000</v>
      </c>
      <c r="L175" s="16">
        <f t="shared" si="28"/>
        <v>95000000000</v>
      </c>
      <c r="M175" s="138">
        <f t="shared" si="27"/>
        <v>1</v>
      </c>
      <c r="N175" s="122"/>
      <c r="O175" s="123"/>
    </row>
    <row r="176" spans="1:51" s="124" customFormat="1" ht="51.75" customHeight="1" x14ac:dyDescent="0.25">
      <c r="A176" s="140">
        <v>113600134</v>
      </c>
      <c r="B176" s="121">
        <v>10</v>
      </c>
      <c r="C176" s="159" t="s">
        <v>175</v>
      </c>
      <c r="D176" s="16">
        <v>214030682946</v>
      </c>
      <c r="E176" s="16">
        <v>0</v>
      </c>
      <c r="F176" s="16">
        <v>0</v>
      </c>
      <c r="G176" s="16">
        <v>0</v>
      </c>
      <c r="H176" s="16">
        <v>0</v>
      </c>
      <c r="I176" s="16">
        <v>3936401346</v>
      </c>
      <c r="J176" s="16">
        <f t="shared" si="40"/>
        <v>-3936401346</v>
      </c>
      <c r="K176" s="16">
        <f t="shared" si="28"/>
        <v>210094281600</v>
      </c>
      <c r="L176" s="16">
        <v>210094281600</v>
      </c>
      <c r="M176" s="138">
        <f t="shared" si="27"/>
        <v>1</v>
      </c>
      <c r="N176" s="122"/>
      <c r="O176" s="123"/>
    </row>
    <row r="177" spans="1:16" s="124" customFormat="1" ht="51.75" customHeight="1" x14ac:dyDescent="0.25">
      <c r="A177" s="140">
        <v>113600135</v>
      </c>
      <c r="B177" s="121">
        <v>10</v>
      </c>
      <c r="C177" s="159" t="s">
        <v>176</v>
      </c>
      <c r="D177" s="16">
        <v>335848852100</v>
      </c>
      <c r="E177" s="16">
        <v>0</v>
      </c>
      <c r="F177" s="16">
        <v>0</v>
      </c>
      <c r="G177" s="16">
        <v>0</v>
      </c>
      <c r="H177" s="16">
        <v>0</v>
      </c>
      <c r="I177" s="16">
        <v>6176852100</v>
      </c>
      <c r="J177" s="16">
        <f t="shared" si="40"/>
        <v>-6176852100</v>
      </c>
      <c r="K177" s="16">
        <f t="shared" si="28"/>
        <v>329672000000</v>
      </c>
      <c r="L177" s="16">
        <v>329672000000</v>
      </c>
      <c r="M177" s="138">
        <f t="shared" si="27"/>
        <v>1</v>
      </c>
      <c r="N177" s="122"/>
      <c r="O177" s="123"/>
    </row>
    <row r="178" spans="1:16" s="124" customFormat="1" ht="51.75" customHeight="1" x14ac:dyDescent="0.25">
      <c r="A178" s="140">
        <v>113600136</v>
      </c>
      <c r="B178" s="121">
        <v>10</v>
      </c>
      <c r="C178" s="159" t="s">
        <v>177</v>
      </c>
      <c r="D178" s="16">
        <v>244236233844</v>
      </c>
      <c r="E178" s="16">
        <v>0</v>
      </c>
      <c r="F178" s="16">
        <v>0</v>
      </c>
      <c r="G178" s="16">
        <v>0</v>
      </c>
      <c r="H178" s="16">
        <v>0</v>
      </c>
      <c r="I178" s="16">
        <v>6560884646</v>
      </c>
      <c r="J178" s="16">
        <f t="shared" si="40"/>
        <v>-6560884646</v>
      </c>
      <c r="K178" s="16">
        <f t="shared" si="28"/>
        <v>237675349198</v>
      </c>
      <c r="L178" s="16">
        <v>237671259417</v>
      </c>
      <c r="M178" s="138">
        <f t="shared" si="27"/>
        <v>0.99998279257392997</v>
      </c>
      <c r="N178" s="122"/>
      <c r="O178" s="123"/>
    </row>
    <row r="179" spans="1:16" s="124" customFormat="1" ht="67.5" customHeight="1" x14ac:dyDescent="0.25">
      <c r="A179" s="140">
        <v>113600137</v>
      </c>
      <c r="B179" s="121">
        <v>10</v>
      </c>
      <c r="C179" s="159" t="s">
        <v>196</v>
      </c>
      <c r="D179" s="16">
        <v>3500000000</v>
      </c>
      <c r="E179" s="16">
        <v>0</v>
      </c>
      <c r="F179" s="16">
        <v>3500000000</v>
      </c>
      <c r="G179" s="16">
        <v>0</v>
      </c>
      <c r="H179" s="16">
        <v>0</v>
      </c>
      <c r="I179" s="16">
        <v>0</v>
      </c>
      <c r="J179" s="16">
        <f t="shared" si="40"/>
        <v>-3500000000</v>
      </c>
      <c r="K179" s="16">
        <f t="shared" si="28"/>
        <v>0</v>
      </c>
      <c r="L179" s="16">
        <v>0</v>
      </c>
      <c r="M179" s="138" t="s">
        <v>155</v>
      </c>
      <c r="N179" s="122"/>
      <c r="O179" s="123"/>
    </row>
    <row r="180" spans="1:16" s="124" customFormat="1" ht="69.75" customHeight="1" x14ac:dyDescent="0.25">
      <c r="A180" s="140">
        <v>113600138</v>
      </c>
      <c r="B180" s="121">
        <v>10</v>
      </c>
      <c r="C180" s="159" t="s">
        <v>178</v>
      </c>
      <c r="D180" s="16">
        <v>3500000000</v>
      </c>
      <c r="E180" s="16">
        <v>0</v>
      </c>
      <c r="F180" s="16">
        <v>3500000000</v>
      </c>
      <c r="G180" s="16">
        <v>0</v>
      </c>
      <c r="H180" s="16">
        <v>0</v>
      </c>
      <c r="I180" s="16">
        <v>0</v>
      </c>
      <c r="J180" s="16">
        <f t="shared" si="40"/>
        <v>-3500000000</v>
      </c>
      <c r="K180" s="16">
        <f t="shared" si="28"/>
        <v>0</v>
      </c>
      <c r="L180" s="16">
        <v>0</v>
      </c>
      <c r="M180" s="138" t="s">
        <v>155</v>
      </c>
      <c r="N180" s="122"/>
      <c r="O180" s="123"/>
    </row>
    <row r="181" spans="1:16" s="27" customFormat="1" ht="24.95" customHeight="1" x14ac:dyDescent="0.25">
      <c r="A181" s="137">
        <v>113601</v>
      </c>
      <c r="B181" s="108"/>
      <c r="C181" s="115" t="s">
        <v>179</v>
      </c>
      <c r="D181" s="16">
        <f t="shared" ref="D181:I181" si="58">SUM(D182:D185)</f>
        <v>1012121000000</v>
      </c>
      <c r="E181" s="16">
        <f t="shared" si="58"/>
        <v>0</v>
      </c>
      <c r="F181" s="16">
        <f t="shared" si="58"/>
        <v>104802000000</v>
      </c>
      <c r="G181" s="16">
        <f t="shared" si="58"/>
        <v>0</v>
      </c>
      <c r="H181" s="16">
        <f t="shared" si="58"/>
        <v>0</v>
      </c>
      <c r="I181" s="16">
        <f t="shared" si="58"/>
        <v>0</v>
      </c>
      <c r="J181" s="16">
        <f t="shared" si="40"/>
        <v>-104802000000</v>
      </c>
      <c r="K181" s="16">
        <f>SUM(K182:K185)</f>
        <v>907319000000</v>
      </c>
      <c r="L181" s="16">
        <f>SUM(L182:L185)</f>
        <v>906536096054.56995</v>
      </c>
      <c r="M181" s="138">
        <f t="shared" si="27"/>
        <v>0.99913712382808029</v>
      </c>
      <c r="N181" s="112"/>
      <c r="O181" s="113"/>
    </row>
    <row r="182" spans="1:16" s="27" customFormat="1" ht="39.75" customHeight="1" x14ac:dyDescent="0.25">
      <c r="A182" s="137">
        <v>1136013</v>
      </c>
      <c r="B182" s="108">
        <v>10</v>
      </c>
      <c r="C182" s="109" t="s">
        <v>104</v>
      </c>
      <c r="D182" s="16">
        <v>372634000000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f t="shared" si="40"/>
        <v>0</v>
      </c>
      <c r="K182" s="16">
        <f t="shared" si="28"/>
        <v>372634000000</v>
      </c>
      <c r="L182" s="16">
        <f t="shared" si="28"/>
        <v>372634000000</v>
      </c>
      <c r="M182" s="138">
        <f t="shared" si="27"/>
        <v>1</v>
      </c>
      <c r="N182" s="112"/>
      <c r="O182" s="113"/>
    </row>
    <row r="183" spans="1:16" s="27" customFormat="1" ht="39.75" customHeight="1" x14ac:dyDescent="0.25">
      <c r="A183" s="137">
        <v>1136013</v>
      </c>
      <c r="B183" s="108">
        <v>20</v>
      </c>
      <c r="C183" s="109" t="s">
        <v>104</v>
      </c>
      <c r="D183" s="16">
        <v>30120000000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f t="shared" si="40"/>
        <v>0</v>
      </c>
      <c r="K183" s="16">
        <f t="shared" si="28"/>
        <v>30120000000</v>
      </c>
      <c r="L183" s="16">
        <f t="shared" si="28"/>
        <v>30120000000</v>
      </c>
      <c r="M183" s="138">
        <f t="shared" si="27"/>
        <v>1</v>
      </c>
      <c r="N183" s="112">
        <f>+K183-[1]Julio!D162</f>
        <v>-102297500000</v>
      </c>
      <c r="P183" s="113"/>
    </row>
    <row r="184" spans="1:16" s="27" customFormat="1" ht="48.75" customHeight="1" x14ac:dyDescent="0.25">
      <c r="A184" s="137">
        <v>1136015</v>
      </c>
      <c r="B184" s="108">
        <v>10</v>
      </c>
      <c r="C184" s="109" t="s">
        <v>212</v>
      </c>
      <c r="D184" s="16">
        <v>494565000000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f t="shared" si="40"/>
        <v>0</v>
      </c>
      <c r="K184" s="16">
        <f t="shared" si="28"/>
        <v>494565000000</v>
      </c>
      <c r="L184" s="16">
        <f t="shared" si="28"/>
        <v>494565000000</v>
      </c>
      <c r="M184" s="138">
        <f t="shared" si="27"/>
        <v>1</v>
      </c>
      <c r="N184" s="112"/>
      <c r="P184" s="113"/>
    </row>
    <row r="185" spans="1:16" s="27" customFormat="1" ht="45.75" customHeight="1" x14ac:dyDescent="0.25">
      <c r="A185" s="137">
        <v>1136016</v>
      </c>
      <c r="B185" s="108">
        <v>10</v>
      </c>
      <c r="C185" s="109" t="s">
        <v>197</v>
      </c>
      <c r="D185" s="16">
        <v>114802000000</v>
      </c>
      <c r="E185" s="16">
        <v>0</v>
      </c>
      <c r="F185" s="16">
        <v>104802000000</v>
      </c>
      <c r="G185" s="16">
        <v>0</v>
      </c>
      <c r="H185" s="16">
        <v>0</v>
      </c>
      <c r="I185" s="16">
        <v>0</v>
      </c>
      <c r="J185" s="16">
        <f t="shared" si="40"/>
        <v>-104802000000</v>
      </c>
      <c r="K185" s="16">
        <f t="shared" si="28"/>
        <v>10000000000</v>
      </c>
      <c r="L185" s="16">
        <v>9217096054.5699997</v>
      </c>
      <c r="M185" s="138">
        <f>+L185/K185</f>
        <v>0.92170960545699998</v>
      </c>
      <c r="N185" s="112"/>
      <c r="P185" s="113"/>
    </row>
    <row r="186" spans="1:16" s="27" customFormat="1" ht="24.95" customHeight="1" x14ac:dyDescent="0.25">
      <c r="A186" s="137">
        <v>113605</v>
      </c>
      <c r="B186" s="108"/>
      <c r="C186" s="109" t="s">
        <v>105</v>
      </c>
      <c r="D186" s="16">
        <f>SUM(D187:D188)</f>
        <v>52191804692</v>
      </c>
      <c r="E186" s="16">
        <f t="shared" ref="E186:I186" si="59">SUM(E187:E188)</f>
        <v>0</v>
      </c>
      <c r="F186" s="16">
        <f t="shared" si="59"/>
        <v>0</v>
      </c>
      <c r="G186" s="16">
        <f t="shared" si="59"/>
        <v>0</v>
      </c>
      <c r="H186" s="16">
        <f t="shared" si="59"/>
        <v>0</v>
      </c>
      <c r="I186" s="16">
        <f t="shared" si="59"/>
        <v>0</v>
      </c>
      <c r="J186" s="16">
        <f t="shared" si="40"/>
        <v>0</v>
      </c>
      <c r="K186" s="16">
        <f>SUM(K187:K188)</f>
        <v>52191804692</v>
      </c>
      <c r="L186" s="16">
        <f>SUM(L187:L188)</f>
        <v>52175127589</v>
      </c>
      <c r="M186" s="138">
        <f t="shared" si="27"/>
        <v>0.99968046510178343</v>
      </c>
      <c r="N186" s="112"/>
      <c r="P186" s="113"/>
    </row>
    <row r="187" spans="1:16" s="27" customFormat="1" ht="60.75" customHeight="1" x14ac:dyDescent="0.25">
      <c r="A187" s="137">
        <v>11360507</v>
      </c>
      <c r="B187" s="108">
        <v>11</v>
      </c>
      <c r="C187" s="160" t="s">
        <v>106</v>
      </c>
      <c r="D187" s="16">
        <v>36000000000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f t="shared" si="40"/>
        <v>0</v>
      </c>
      <c r="K187" s="16">
        <f t="shared" si="28"/>
        <v>36000000000</v>
      </c>
      <c r="L187" s="16">
        <v>36000000000</v>
      </c>
      <c r="M187" s="138">
        <f>+L187/K187</f>
        <v>1</v>
      </c>
      <c r="N187" s="112"/>
      <c r="P187" s="113"/>
    </row>
    <row r="188" spans="1:16" s="27" customFormat="1" ht="56.25" customHeight="1" x14ac:dyDescent="0.25">
      <c r="A188" s="137">
        <v>1136057</v>
      </c>
      <c r="B188" s="108">
        <v>20</v>
      </c>
      <c r="C188" s="109" t="s">
        <v>106</v>
      </c>
      <c r="D188" s="16">
        <v>16191804692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f t="shared" si="40"/>
        <v>0</v>
      </c>
      <c r="K188" s="16">
        <f t="shared" si="28"/>
        <v>16191804692</v>
      </c>
      <c r="L188" s="16">
        <v>16175127589</v>
      </c>
      <c r="M188" s="138">
        <f t="shared" ref="M188:M199" si="60">+L188/K188</f>
        <v>0.99897002815206637</v>
      </c>
      <c r="N188" s="112"/>
      <c r="P188" s="113"/>
    </row>
    <row r="189" spans="1:16" s="27" customFormat="1" ht="24.95" customHeight="1" x14ac:dyDescent="0.25">
      <c r="A189" s="137">
        <v>113607</v>
      </c>
      <c r="B189" s="108"/>
      <c r="C189" s="109" t="s">
        <v>159</v>
      </c>
      <c r="D189" s="16">
        <f>+D190</f>
        <v>4000000000</v>
      </c>
      <c r="E189" s="16">
        <f t="shared" ref="E189:I189" si="61">+E190</f>
        <v>0</v>
      </c>
      <c r="F189" s="16">
        <f t="shared" si="61"/>
        <v>0</v>
      </c>
      <c r="G189" s="16">
        <f t="shared" si="61"/>
        <v>0</v>
      </c>
      <c r="H189" s="16">
        <f t="shared" si="61"/>
        <v>0</v>
      </c>
      <c r="I189" s="16">
        <f t="shared" si="61"/>
        <v>0</v>
      </c>
      <c r="J189" s="16">
        <f t="shared" si="40"/>
        <v>0</v>
      </c>
      <c r="K189" s="16">
        <f t="shared" si="28"/>
        <v>4000000000</v>
      </c>
      <c r="L189" s="16">
        <f>+L190</f>
        <v>176786635</v>
      </c>
      <c r="M189" s="138">
        <f t="shared" si="60"/>
        <v>4.4196658749999999E-2</v>
      </c>
      <c r="N189" s="112"/>
      <c r="P189" s="113"/>
    </row>
    <row r="190" spans="1:16" s="27" customFormat="1" ht="37.5" customHeight="1" x14ac:dyDescent="0.25">
      <c r="A190" s="137">
        <v>1136071</v>
      </c>
      <c r="B190" s="108">
        <v>21</v>
      </c>
      <c r="C190" s="109" t="s">
        <v>160</v>
      </c>
      <c r="D190" s="16">
        <v>4000000000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f t="shared" si="40"/>
        <v>0</v>
      </c>
      <c r="K190" s="16">
        <f t="shared" si="28"/>
        <v>4000000000</v>
      </c>
      <c r="L190" s="16">
        <v>176786635</v>
      </c>
      <c r="M190" s="138">
        <f>+L190/K190</f>
        <v>4.4196658749999999E-2</v>
      </c>
      <c r="N190" s="112"/>
      <c r="P190" s="113"/>
    </row>
    <row r="191" spans="1:16" s="27" customFormat="1" ht="72" customHeight="1" x14ac:dyDescent="0.25">
      <c r="A191" s="137">
        <v>520</v>
      </c>
      <c r="B191" s="108"/>
      <c r="C191" s="109" t="s">
        <v>211</v>
      </c>
      <c r="D191" s="16">
        <f>+D192</f>
        <v>20000000000</v>
      </c>
      <c r="E191" s="16">
        <f t="shared" ref="E191:I191" si="62">+E192</f>
        <v>0</v>
      </c>
      <c r="F191" s="16">
        <f t="shared" si="62"/>
        <v>0</v>
      </c>
      <c r="G191" s="16">
        <f t="shared" si="62"/>
        <v>0</v>
      </c>
      <c r="H191" s="16">
        <f t="shared" si="62"/>
        <v>2792000000</v>
      </c>
      <c r="I191" s="16">
        <f t="shared" si="62"/>
        <v>2792000000</v>
      </c>
      <c r="J191" s="16">
        <f t="shared" si="40"/>
        <v>0</v>
      </c>
      <c r="K191" s="16">
        <f>D191+J191</f>
        <v>20000000000</v>
      </c>
      <c r="L191" s="16">
        <f>+L192</f>
        <v>15286012488.200001</v>
      </c>
      <c r="M191" s="138">
        <f t="shared" si="60"/>
        <v>0.76430062441000002</v>
      </c>
      <c r="N191" s="112"/>
      <c r="P191" s="113"/>
    </row>
    <row r="192" spans="1:16" s="27" customFormat="1" ht="24.95" customHeight="1" x14ac:dyDescent="0.25">
      <c r="A192" s="137">
        <v>520600</v>
      </c>
      <c r="B192" s="108"/>
      <c r="C192" s="109" t="s">
        <v>103</v>
      </c>
      <c r="D192" s="16">
        <f>SUM(D193:D194)</f>
        <v>20000000000</v>
      </c>
      <c r="E192" s="16">
        <f t="shared" ref="E192:H192" si="63">SUM(E193:E194)</f>
        <v>0</v>
      </c>
      <c r="F192" s="16">
        <f t="shared" si="63"/>
        <v>0</v>
      </c>
      <c r="G192" s="16">
        <f t="shared" si="63"/>
        <v>0</v>
      </c>
      <c r="H192" s="16">
        <f t="shared" si="63"/>
        <v>2792000000</v>
      </c>
      <c r="I192" s="16">
        <f>SUM(I193:I194)</f>
        <v>2792000000</v>
      </c>
      <c r="J192" s="16">
        <f t="shared" si="40"/>
        <v>0</v>
      </c>
      <c r="K192" s="16">
        <f>D192+J192</f>
        <v>20000000000</v>
      </c>
      <c r="L192" s="16">
        <f>SUM(L193:L194)</f>
        <v>15286012488.200001</v>
      </c>
      <c r="M192" s="138">
        <f t="shared" si="60"/>
        <v>0.76430062441000002</v>
      </c>
      <c r="N192" s="134"/>
      <c r="O192" s="131"/>
      <c r="P192" s="131"/>
    </row>
    <row r="193" spans="1:16" s="27" customFormat="1" ht="69" customHeight="1" x14ac:dyDescent="0.25">
      <c r="A193" s="137">
        <v>5206001</v>
      </c>
      <c r="B193" s="108">
        <v>11</v>
      </c>
      <c r="C193" s="159" t="s">
        <v>171</v>
      </c>
      <c r="D193" s="16">
        <v>0</v>
      </c>
      <c r="E193" s="16">
        <v>0</v>
      </c>
      <c r="F193" s="16">
        <v>0</v>
      </c>
      <c r="G193" s="16">
        <v>0</v>
      </c>
      <c r="H193" s="16">
        <v>2792000000</v>
      </c>
      <c r="I193" s="16">
        <v>0</v>
      </c>
      <c r="J193" s="16">
        <f t="shared" si="40"/>
        <v>2792000000</v>
      </c>
      <c r="K193" s="16">
        <f t="shared" si="28"/>
        <v>2792000000</v>
      </c>
      <c r="L193" s="16">
        <v>2438452651</v>
      </c>
      <c r="M193" s="138">
        <f t="shared" si="60"/>
        <v>0.87337129333810892</v>
      </c>
      <c r="N193" s="125"/>
      <c r="O193" s="125"/>
      <c r="P193" s="125"/>
    </row>
    <row r="194" spans="1:16" s="27" customFormat="1" ht="50.25" customHeight="1" x14ac:dyDescent="0.25">
      <c r="A194" s="137">
        <v>5206002</v>
      </c>
      <c r="B194" s="108">
        <v>11</v>
      </c>
      <c r="C194" s="160" t="s">
        <v>183</v>
      </c>
      <c r="D194" s="16">
        <v>20000000000</v>
      </c>
      <c r="E194" s="16">
        <v>0</v>
      </c>
      <c r="F194" s="16">
        <v>0</v>
      </c>
      <c r="G194" s="16">
        <v>0</v>
      </c>
      <c r="H194" s="16">
        <v>0</v>
      </c>
      <c r="I194" s="16">
        <f>2300000000+492000000</f>
        <v>2792000000</v>
      </c>
      <c r="J194" s="16">
        <f t="shared" si="40"/>
        <v>-2792000000</v>
      </c>
      <c r="K194" s="16">
        <f t="shared" si="28"/>
        <v>17208000000</v>
      </c>
      <c r="L194" s="16">
        <v>12847559837.200001</v>
      </c>
      <c r="M194" s="138">
        <f t="shared" si="60"/>
        <v>0.74660389569967467</v>
      </c>
      <c r="N194" s="112"/>
      <c r="P194" s="113"/>
    </row>
    <row r="195" spans="1:16" s="27" customFormat="1" ht="57.75" customHeight="1" x14ac:dyDescent="0.25">
      <c r="A195" s="137">
        <v>530</v>
      </c>
      <c r="B195" s="108"/>
      <c r="C195" s="109" t="s">
        <v>107</v>
      </c>
      <c r="D195" s="16">
        <f>+D196</f>
        <v>242495918383</v>
      </c>
      <c r="E195" s="16">
        <f t="shared" ref="E195:I195" si="64">+E196</f>
        <v>0</v>
      </c>
      <c r="F195" s="16">
        <f t="shared" si="64"/>
        <v>0</v>
      </c>
      <c r="G195" s="16">
        <f t="shared" si="64"/>
        <v>0</v>
      </c>
      <c r="H195" s="16">
        <f t="shared" si="64"/>
        <v>0</v>
      </c>
      <c r="I195" s="16">
        <f t="shared" si="64"/>
        <v>0</v>
      </c>
      <c r="J195" s="16">
        <f t="shared" si="40"/>
        <v>0</v>
      </c>
      <c r="K195" s="16">
        <f t="shared" ref="K195:K198" si="65">D195+J195</f>
        <v>242495918383</v>
      </c>
      <c r="L195" s="16">
        <f>+L196</f>
        <v>240820239964.97998</v>
      </c>
      <c r="M195" s="138">
        <f t="shared" si="60"/>
        <v>0.99308986959783196</v>
      </c>
      <c r="N195" s="112"/>
    </row>
    <row r="196" spans="1:16" s="27" customFormat="1" ht="24.95" customHeight="1" x14ac:dyDescent="0.25">
      <c r="A196" s="137">
        <v>530600</v>
      </c>
      <c r="B196" s="108"/>
      <c r="C196" s="109" t="s">
        <v>103</v>
      </c>
      <c r="D196" s="16">
        <f>D197+D198</f>
        <v>242495918383</v>
      </c>
      <c r="E196" s="16">
        <f t="shared" ref="E196:I196" si="66">E197+E198</f>
        <v>0</v>
      </c>
      <c r="F196" s="16">
        <f t="shared" si="66"/>
        <v>0</v>
      </c>
      <c r="G196" s="16">
        <f t="shared" si="66"/>
        <v>0</v>
      </c>
      <c r="H196" s="16">
        <f t="shared" si="66"/>
        <v>0</v>
      </c>
      <c r="I196" s="16">
        <f t="shared" si="66"/>
        <v>0</v>
      </c>
      <c r="J196" s="16">
        <f t="shared" si="40"/>
        <v>0</v>
      </c>
      <c r="K196" s="16">
        <f>D196+J196</f>
        <v>242495918383</v>
      </c>
      <c r="L196" s="16">
        <f>SUM(L197:L198)</f>
        <v>240820239964.97998</v>
      </c>
      <c r="M196" s="138">
        <f t="shared" si="60"/>
        <v>0.99308986959783196</v>
      </c>
      <c r="N196" s="112"/>
    </row>
    <row r="197" spans="1:16" s="27" customFormat="1" ht="76.5" customHeight="1" x14ac:dyDescent="0.25">
      <c r="A197" s="137">
        <v>5306003</v>
      </c>
      <c r="B197" s="108">
        <v>10</v>
      </c>
      <c r="C197" s="109" t="s">
        <v>149</v>
      </c>
      <c r="D197" s="16">
        <v>220964796405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f t="shared" si="40"/>
        <v>0</v>
      </c>
      <c r="K197" s="16">
        <f t="shared" si="65"/>
        <v>220964796405</v>
      </c>
      <c r="L197" s="16">
        <v>220913455970.07999</v>
      </c>
      <c r="M197" s="138">
        <f t="shared" si="60"/>
        <v>0.99976765332869622</v>
      </c>
      <c r="N197" s="112"/>
    </row>
    <row r="198" spans="1:16" s="27" customFormat="1" ht="89.25" customHeight="1" thickBot="1" x14ac:dyDescent="0.3">
      <c r="A198" s="137">
        <v>5306003</v>
      </c>
      <c r="B198" s="108">
        <v>20</v>
      </c>
      <c r="C198" s="109" t="s">
        <v>149</v>
      </c>
      <c r="D198" s="16">
        <v>21531121978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40"/>
        <v>0</v>
      </c>
      <c r="K198" s="16">
        <f t="shared" si="65"/>
        <v>21531121978</v>
      </c>
      <c r="L198" s="16">
        <v>19906783994.900002</v>
      </c>
      <c r="M198" s="138">
        <f t="shared" si="60"/>
        <v>0.92455860011569724</v>
      </c>
      <c r="N198" s="112"/>
    </row>
    <row r="199" spans="1:16" s="21" customFormat="1" ht="37.5" customHeight="1" thickBot="1" x14ac:dyDescent="0.3">
      <c r="A199" s="258" t="s">
        <v>108</v>
      </c>
      <c r="B199" s="259"/>
      <c r="C199" s="260"/>
      <c r="D199" s="105">
        <f t="shared" ref="D199:K199" si="67">+D11+D164+D168</f>
        <v>3194291126869</v>
      </c>
      <c r="E199" s="105">
        <f t="shared" si="67"/>
        <v>0</v>
      </c>
      <c r="F199" s="105">
        <f t="shared" si="67"/>
        <v>111802000000</v>
      </c>
      <c r="G199" s="105">
        <f t="shared" si="67"/>
        <v>0</v>
      </c>
      <c r="H199" s="105">
        <f t="shared" si="67"/>
        <v>45511519152</v>
      </c>
      <c r="I199" s="105">
        <f t="shared" si="67"/>
        <v>45511519152</v>
      </c>
      <c r="J199" s="105">
        <f t="shared" si="40"/>
        <v>-111802000000</v>
      </c>
      <c r="K199" s="105">
        <f t="shared" si="67"/>
        <v>3082489126869</v>
      </c>
      <c r="L199" s="105">
        <f>+L168+L164+L11</f>
        <v>3043746408796.9399</v>
      </c>
      <c r="M199" s="106">
        <f t="shared" si="60"/>
        <v>0.98743135288479911</v>
      </c>
    </row>
    <row r="200" spans="1:16" s="27" customFormat="1" ht="24.95" customHeight="1" x14ac:dyDescent="0.25">
      <c r="B200" s="23"/>
      <c r="C200" s="28"/>
      <c r="D200" s="29"/>
      <c r="E200" s="29"/>
      <c r="F200" s="29"/>
      <c r="G200" s="29"/>
      <c r="H200" s="29"/>
      <c r="I200" s="29"/>
      <c r="J200" s="29"/>
      <c r="K200" s="29"/>
      <c r="L200" s="29"/>
      <c r="M200" s="30"/>
    </row>
    <row r="201" spans="1:16" s="4" customFormat="1" ht="24.95" customHeight="1" x14ac:dyDescent="0.25">
      <c r="A201" s="158" t="s">
        <v>173</v>
      </c>
      <c r="B201" s="15"/>
      <c r="C201" s="11"/>
      <c r="D201" s="12"/>
      <c r="E201" s="12"/>
      <c r="F201" s="12"/>
      <c r="G201" s="12"/>
      <c r="H201" s="12"/>
      <c r="I201" s="12"/>
      <c r="J201" s="12"/>
      <c r="K201" s="12"/>
      <c r="L201" s="12"/>
      <c r="M201" s="19"/>
    </row>
    <row r="202" spans="1:16" s="27" customFormat="1" ht="24.95" customHeight="1" x14ac:dyDescent="0.25">
      <c r="B202" s="23"/>
      <c r="C202" s="28"/>
      <c r="D202" s="29"/>
      <c r="E202" s="29"/>
      <c r="F202" s="29"/>
      <c r="G202" s="29"/>
      <c r="H202" s="29"/>
      <c r="I202" s="29"/>
      <c r="J202" s="29"/>
      <c r="K202" s="29"/>
      <c r="L202" s="29"/>
      <c r="M202" s="30"/>
    </row>
    <row r="203" spans="1:16" s="27" customFormat="1" ht="24.95" customHeight="1" x14ac:dyDescent="0.25">
      <c r="B203" s="23"/>
      <c r="C203" s="28"/>
      <c r="D203" s="29"/>
      <c r="E203" s="29"/>
      <c r="F203" s="29"/>
      <c r="G203" s="29"/>
      <c r="H203" s="29"/>
      <c r="I203" s="29"/>
      <c r="J203" s="29"/>
      <c r="K203" s="29"/>
      <c r="L203" s="29"/>
      <c r="M203" s="30"/>
    </row>
    <row r="204" spans="1:16" s="27" customFormat="1" ht="24.95" customHeight="1" x14ac:dyDescent="0.25">
      <c r="B204" s="23"/>
      <c r="C204" s="28"/>
      <c r="D204" s="29"/>
      <c r="E204" s="29"/>
      <c r="F204" s="29"/>
      <c r="G204" s="29"/>
      <c r="H204" s="29"/>
      <c r="I204" s="29"/>
      <c r="J204" s="29"/>
      <c r="K204" s="29"/>
      <c r="L204" s="29"/>
      <c r="M204" s="30"/>
    </row>
    <row r="205" spans="1:16" s="27" customFormat="1" ht="24.95" customHeight="1" x14ac:dyDescent="0.25">
      <c r="B205" s="23"/>
      <c r="C205" s="28"/>
      <c r="D205" s="29"/>
      <c r="E205" s="29"/>
      <c r="F205" s="29"/>
      <c r="G205" s="29"/>
      <c r="H205" s="29"/>
      <c r="I205" s="29"/>
      <c r="J205" s="29"/>
      <c r="K205" s="29"/>
      <c r="L205" s="29"/>
      <c r="M205" s="30"/>
    </row>
    <row r="206" spans="1:16" ht="24.95" customHeight="1" x14ac:dyDescent="0.25"/>
    <row r="207" spans="1:16" ht="24.95" customHeight="1" x14ac:dyDescent="0.25"/>
    <row r="208" spans="1:16" s="27" customFormat="1" ht="24.95" customHeight="1" x14ac:dyDescent="0.25">
      <c r="B208" s="23"/>
      <c r="C208" s="28"/>
      <c r="D208" s="29"/>
      <c r="E208" s="29"/>
      <c r="F208" s="29"/>
      <c r="G208" s="29"/>
      <c r="H208" s="29"/>
      <c r="I208" s="29"/>
      <c r="J208" s="29"/>
      <c r="K208" s="29"/>
      <c r="L208" s="29"/>
      <c r="M208" s="30"/>
    </row>
    <row r="209" spans="2:13" s="27" customFormat="1" ht="24.95" customHeight="1" x14ac:dyDescent="0.25">
      <c r="B209" s="23"/>
      <c r="C209" s="28"/>
      <c r="D209" s="29"/>
      <c r="E209" s="29"/>
      <c r="F209" s="29"/>
      <c r="G209" s="29"/>
      <c r="H209" s="29"/>
      <c r="I209" s="29"/>
      <c r="J209" s="29"/>
      <c r="K209" s="29"/>
      <c r="L209" s="29"/>
      <c r="M209" s="30"/>
    </row>
    <row r="210" spans="2:13" s="27" customFormat="1" ht="24.95" customHeight="1" x14ac:dyDescent="0.25">
      <c r="B210" s="23"/>
      <c r="C210" s="28"/>
      <c r="D210" s="29"/>
      <c r="E210" s="29"/>
      <c r="F210" s="29"/>
      <c r="G210" s="29"/>
      <c r="H210" s="29"/>
      <c r="I210" s="29"/>
      <c r="J210" s="29"/>
      <c r="K210" s="29"/>
      <c r="L210" s="29"/>
      <c r="M210" s="30"/>
    </row>
    <row r="211" spans="2:13" s="27" customFormat="1" ht="24.95" customHeight="1" x14ac:dyDescent="0.25">
      <c r="B211" s="23"/>
      <c r="C211" s="28"/>
      <c r="D211" s="29"/>
      <c r="E211" s="29"/>
      <c r="F211" s="29"/>
      <c r="G211" s="29"/>
      <c r="H211" s="29"/>
      <c r="I211" s="29"/>
      <c r="J211" s="29"/>
      <c r="K211" s="29"/>
      <c r="L211" s="29"/>
      <c r="M211" s="30"/>
    </row>
    <row r="212" spans="2:13" s="27" customFormat="1" ht="24.95" customHeight="1" x14ac:dyDescent="0.25">
      <c r="B212" s="23"/>
      <c r="C212" s="28"/>
      <c r="D212" s="29"/>
      <c r="E212" s="29"/>
      <c r="F212" s="29"/>
      <c r="G212" s="29"/>
      <c r="H212" s="29"/>
      <c r="I212" s="29"/>
      <c r="J212" s="29"/>
      <c r="K212" s="29"/>
      <c r="L212" s="29"/>
      <c r="M212" s="30"/>
    </row>
    <row r="213" spans="2:13" s="27" customFormat="1" ht="24.95" customHeight="1" x14ac:dyDescent="0.25">
      <c r="B213" s="23"/>
      <c r="C213" s="28"/>
      <c r="D213" s="29"/>
      <c r="E213" s="29"/>
      <c r="F213" s="29"/>
      <c r="G213" s="29"/>
      <c r="H213" s="29"/>
      <c r="I213" s="29"/>
      <c r="J213" s="29"/>
      <c r="K213" s="29"/>
      <c r="L213" s="29"/>
      <c r="M213" s="30"/>
    </row>
    <row r="214" spans="2:13" s="27" customFormat="1" ht="24.95" customHeight="1" x14ac:dyDescent="0.25">
      <c r="B214" s="23"/>
      <c r="C214" s="28"/>
      <c r="D214" s="29"/>
      <c r="E214" s="29"/>
      <c r="F214" s="29"/>
      <c r="G214" s="29"/>
      <c r="H214" s="29"/>
      <c r="I214" s="29"/>
      <c r="J214" s="29"/>
      <c r="K214" s="29"/>
      <c r="L214" s="29"/>
      <c r="M214" s="30"/>
    </row>
    <row r="215" spans="2:13" s="27" customFormat="1" ht="24.95" customHeight="1" x14ac:dyDescent="0.25">
      <c r="B215" s="23"/>
      <c r="C215" s="28"/>
      <c r="D215" s="29"/>
      <c r="E215" s="29"/>
      <c r="F215" s="29"/>
      <c r="G215" s="29"/>
      <c r="H215" s="29"/>
      <c r="I215" s="29"/>
      <c r="J215" s="29"/>
      <c r="K215" s="29"/>
      <c r="L215" s="29"/>
      <c r="M215" s="30"/>
    </row>
    <row r="216" spans="2:13" s="27" customFormat="1" ht="24.95" customHeight="1" x14ac:dyDescent="0.25">
      <c r="B216" s="23"/>
      <c r="C216" s="28"/>
      <c r="D216" s="29"/>
      <c r="E216" s="29"/>
      <c r="F216" s="29"/>
      <c r="G216" s="29"/>
      <c r="H216" s="29"/>
      <c r="I216" s="29"/>
      <c r="J216" s="29"/>
      <c r="K216" s="29"/>
      <c r="L216" s="29"/>
      <c r="M216" s="30"/>
    </row>
    <row r="217" spans="2:13" s="27" customFormat="1" ht="24.95" customHeight="1" x14ac:dyDescent="0.25">
      <c r="B217" s="23"/>
      <c r="C217" s="28"/>
      <c r="D217" s="29"/>
      <c r="E217" s="29"/>
      <c r="F217" s="29"/>
      <c r="G217" s="29"/>
      <c r="H217" s="29"/>
      <c r="I217" s="29"/>
      <c r="J217" s="29"/>
      <c r="K217" s="29"/>
      <c r="L217" s="29"/>
      <c r="M217" s="30"/>
    </row>
    <row r="218" spans="2:13" s="27" customFormat="1" ht="24.95" customHeight="1" x14ac:dyDescent="0.25">
      <c r="B218" s="23"/>
      <c r="C218" s="28"/>
      <c r="D218" s="29"/>
      <c r="E218" s="29"/>
      <c r="F218" s="29"/>
      <c r="G218" s="29"/>
      <c r="H218" s="29"/>
      <c r="I218" s="29"/>
      <c r="J218" s="29"/>
      <c r="K218" s="29"/>
      <c r="L218" s="29"/>
      <c r="M218" s="30"/>
    </row>
    <row r="219" spans="2:13" s="27" customFormat="1" ht="24.95" customHeight="1" x14ac:dyDescent="0.25">
      <c r="B219" s="23"/>
      <c r="C219" s="28"/>
      <c r="D219" s="29"/>
      <c r="E219" s="29"/>
      <c r="F219" s="29"/>
      <c r="G219" s="29"/>
      <c r="H219" s="29"/>
      <c r="I219" s="29"/>
      <c r="J219" s="29"/>
      <c r="K219" s="29"/>
      <c r="L219" s="29"/>
      <c r="M219" s="30"/>
    </row>
    <row r="220" spans="2:13" s="27" customFormat="1" ht="24.95" customHeight="1" x14ac:dyDescent="0.25">
      <c r="B220" s="23"/>
      <c r="C220" s="28"/>
      <c r="D220" s="29"/>
      <c r="E220" s="29"/>
      <c r="F220" s="29"/>
      <c r="G220" s="29"/>
      <c r="H220" s="29"/>
      <c r="I220" s="29"/>
      <c r="J220" s="29"/>
      <c r="K220" s="29"/>
      <c r="L220" s="29"/>
      <c r="M220" s="30"/>
    </row>
    <row r="221" spans="2:13" s="27" customFormat="1" ht="24.95" customHeight="1" x14ac:dyDescent="0.25">
      <c r="B221" s="23"/>
      <c r="C221" s="28"/>
      <c r="D221" s="29"/>
      <c r="E221" s="29"/>
      <c r="F221" s="29"/>
      <c r="G221" s="29"/>
      <c r="H221" s="29"/>
      <c r="I221" s="29"/>
      <c r="J221" s="29"/>
      <c r="K221" s="29"/>
      <c r="L221" s="29"/>
      <c r="M221" s="30"/>
    </row>
    <row r="222" spans="2:13" s="27" customFormat="1" ht="24.95" customHeight="1" x14ac:dyDescent="0.25">
      <c r="B222" s="23"/>
      <c r="C222" s="28"/>
      <c r="D222" s="29"/>
      <c r="E222" s="29"/>
      <c r="F222" s="29"/>
      <c r="G222" s="29"/>
      <c r="H222" s="29"/>
      <c r="I222" s="29"/>
      <c r="J222" s="29"/>
      <c r="K222" s="29"/>
      <c r="L222" s="29"/>
      <c r="M222" s="30"/>
    </row>
    <row r="223" spans="2:13" s="27" customFormat="1" ht="24.95" customHeight="1" x14ac:dyDescent="0.25">
      <c r="B223" s="23"/>
      <c r="C223" s="28"/>
      <c r="D223" s="29"/>
      <c r="E223" s="29"/>
      <c r="F223" s="29"/>
      <c r="G223" s="29"/>
      <c r="H223" s="29"/>
      <c r="I223" s="29"/>
      <c r="J223" s="29"/>
      <c r="K223" s="29"/>
      <c r="L223" s="29"/>
      <c r="M223" s="30"/>
    </row>
    <row r="224" spans="2:13" s="27" customFormat="1" ht="24.95" customHeight="1" x14ac:dyDescent="0.25">
      <c r="B224" s="23"/>
      <c r="C224" s="28"/>
      <c r="D224" s="29"/>
      <c r="E224" s="29"/>
      <c r="F224" s="29"/>
      <c r="G224" s="29"/>
      <c r="H224" s="29"/>
      <c r="I224" s="29"/>
      <c r="J224" s="29"/>
      <c r="K224" s="29"/>
      <c r="L224" s="29"/>
      <c r="M224" s="30"/>
    </row>
    <row r="225" spans="2:13" s="27" customFormat="1" ht="24.95" customHeight="1" x14ac:dyDescent="0.25">
      <c r="B225" s="23"/>
      <c r="C225" s="28"/>
      <c r="D225" s="29"/>
      <c r="E225" s="29"/>
      <c r="F225" s="29"/>
      <c r="G225" s="29"/>
      <c r="H225" s="29"/>
      <c r="I225" s="29"/>
      <c r="J225" s="29"/>
      <c r="K225" s="29"/>
      <c r="L225" s="29"/>
      <c r="M225" s="30"/>
    </row>
    <row r="226" spans="2:13" s="27" customFormat="1" ht="24.95" customHeight="1" x14ac:dyDescent="0.25">
      <c r="B226" s="23"/>
      <c r="C226" s="28"/>
      <c r="D226" s="29"/>
      <c r="E226" s="29"/>
      <c r="F226" s="29"/>
      <c r="G226" s="29"/>
      <c r="H226" s="29"/>
      <c r="I226" s="29"/>
      <c r="J226" s="29"/>
      <c r="K226" s="29"/>
      <c r="L226" s="29"/>
      <c r="M226" s="30"/>
    </row>
    <row r="227" spans="2:13" s="27" customFormat="1" x14ac:dyDescent="0.25">
      <c r="B227" s="23"/>
      <c r="C227" s="28"/>
      <c r="D227" s="29"/>
      <c r="E227" s="29"/>
      <c r="F227" s="29"/>
      <c r="G227" s="29"/>
      <c r="H227" s="29"/>
      <c r="I227" s="29"/>
      <c r="J227" s="29"/>
      <c r="K227" s="29"/>
      <c r="L227" s="29"/>
      <c r="M227" s="30"/>
    </row>
    <row r="228" spans="2:13" s="27" customFormat="1" x14ac:dyDescent="0.25">
      <c r="B228" s="23"/>
      <c r="C228" s="28"/>
      <c r="D228" s="29"/>
      <c r="E228" s="29"/>
      <c r="F228" s="29"/>
      <c r="G228" s="29"/>
      <c r="H228" s="29"/>
      <c r="I228" s="29"/>
      <c r="J228" s="29"/>
      <c r="K228" s="29"/>
      <c r="L228" s="29"/>
      <c r="M228" s="30"/>
    </row>
    <row r="229" spans="2:13" s="27" customFormat="1" x14ac:dyDescent="0.25">
      <c r="B229" s="23"/>
      <c r="C229" s="28"/>
      <c r="D229" s="29"/>
      <c r="E229" s="29"/>
      <c r="F229" s="29"/>
      <c r="G229" s="29"/>
      <c r="H229" s="29"/>
      <c r="I229" s="29"/>
      <c r="J229" s="29"/>
      <c r="K229" s="29"/>
      <c r="L229" s="29"/>
      <c r="M229" s="30"/>
    </row>
    <row r="230" spans="2:13" s="27" customFormat="1" x14ac:dyDescent="0.25">
      <c r="B230" s="23"/>
      <c r="C230" s="28"/>
      <c r="D230" s="29"/>
      <c r="E230" s="29"/>
      <c r="F230" s="29"/>
      <c r="G230" s="29"/>
      <c r="H230" s="29"/>
      <c r="I230" s="29"/>
      <c r="J230" s="29"/>
      <c r="K230" s="29"/>
      <c r="L230" s="29"/>
      <c r="M230" s="30"/>
    </row>
    <row r="231" spans="2:13" s="27" customFormat="1" x14ac:dyDescent="0.25">
      <c r="B231" s="23"/>
      <c r="C231" s="28"/>
      <c r="D231" s="29"/>
      <c r="E231" s="29"/>
      <c r="F231" s="29"/>
      <c r="G231" s="29"/>
      <c r="H231" s="29"/>
      <c r="I231" s="29"/>
      <c r="J231" s="29"/>
      <c r="K231" s="29"/>
      <c r="L231" s="29"/>
      <c r="M231" s="30"/>
    </row>
    <row r="232" spans="2:13" s="27" customFormat="1" x14ac:dyDescent="0.25">
      <c r="B232" s="23"/>
      <c r="C232" s="28"/>
      <c r="D232" s="29"/>
      <c r="E232" s="29"/>
      <c r="F232" s="29"/>
      <c r="G232" s="29"/>
      <c r="H232" s="29"/>
      <c r="I232" s="29"/>
      <c r="J232" s="29"/>
      <c r="K232" s="29"/>
      <c r="L232" s="29"/>
      <c r="M232" s="30"/>
    </row>
    <row r="233" spans="2:13" s="27" customFormat="1" x14ac:dyDescent="0.25">
      <c r="B233" s="23"/>
      <c r="C233" s="28"/>
      <c r="D233" s="29"/>
      <c r="E233" s="29"/>
      <c r="F233" s="29"/>
      <c r="G233" s="29"/>
      <c r="H233" s="29"/>
      <c r="I233" s="29"/>
      <c r="J233" s="29"/>
      <c r="K233" s="29"/>
      <c r="L233" s="29"/>
      <c r="M233" s="30"/>
    </row>
    <row r="234" spans="2:13" s="27" customFormat="1" x14ac:dyDescent="0.25">
      <c r="B234" s="23"/>
      <c r="C234" s="28"/>
      <c r="D234" s="29"/>
      <c r="E234" s="29"/>
      <c r="F234" s="29"/>
      <c r="G234" s="29"/>
      <c r="H234" s="29"/>
      <c r="I234" s="29"/>
      <c r="J234" s="29"/>
      <c r="K234" s="29"/>
      <c r="L234" s="29"/>
      <c r="M234" s="30"/>
    </row>
    <row r="235" spans="2:13" s="27" customFormat="1" x14ac:dyDescent="0.25">
      <c r="B235" s="23"/>
      <c r="C235" s="28"/>
      <c r="D235" s="29"/>
      <c r="E235" s="29"/>
      <c r="F235" s="29"/>
      <c r="G235" s="29"/>
      <c r="H235" s="29"/>
      <c r="I235" s="29"/>
      <c r="J235" s="29"/>
      <c r="K235" s="29"/>
      <c r="L235" s="29"/>
      <c r="M235" s="30"/>
    </row>
    <row r="236" spans="2:13" s="27" customFormat="1" x14ac:dyDescent="0.25">
      <c r="B236" s="23"/>
      <c r="C236" s="28"/>
      <c r="D236" s="29"/>
      <c r="E236" s="29"/>
      <c r="F236" s="29"/>
      <c r="G236" s="29"/>
      <c r="H236" s="29"/>
      <c r="I236" s="29"/>
      <c r="J236" s="29"/>
      <c r="K236" s="29"/>
      <c r="L236" s="29"/>
      <c r="M236" s="30"/>
    </row>
    <row r="237" spans="2:13" s="27" customFormat="1" x14ac:dyDescent="0.25">
      <c r="B237" s="23"/>
      <c r="C237" s="28"/>
      <c r="D237" s="29"/>
      <c r="E237" s="29"/>
      <c r="F237" s="29"/>
      <c r="G237" s="29"/>
      <c r="H237" s="29"/>
      <c r="I237" s="29"/>
      <c r="J237" s="29"/>
      <c r="K237" s="29"/>
      <c r="L237" s="29"/>
      <c r="M237" s="30"/>
    </row>
    <row r="238" spans="2:13" s="27" customFormat="1" x14ac:dyDescent="0.25">
      <c r="B238" s="23"/>
      <c r="C238" s="28"/>
      <c r="D238" s="29"/>
      <c r="E238" s="29"/>
      <c r="F238" s="29"/>
      <c r="G238" s="29"/>
      <c r="H238" s="29"/>
      <c r="I238" s="29"/>
      <c r="J238" s="29"/>
      <c r="K238" s="29"/>
      <c r="L238" s="29"/>
      <c r="M238" s="30"/>
    </row>
    <row r="239" spans="2:13" s="27" customFormat="1" x14ac:dyDescent="0.25">
      <c r="B239" s="23"/>
      <c r="C239" s="28"/>
      <c r="D239" s="29"/>
      <c r="E239" s="29"/>
      <c r="F239" s="29"/>
      <c r="G239" s="29"/>
      <c r="H239" s="29"/>
      <c r="I239" s="29"/>
      <c r="J239" s="29"/>
      <c r="K239" s="29"/>
      <c r="L239" s="29"/>
      <c r="M239" s="30"/>
    </row>
    <row r="240" spans="2:13" s="27" customFormat="1" x14ac:dyDescent="0.25">
      <c r="B240" s="23"/>
      <c r="C240" s="28"/>
      <c r="D240" s="29"/>
      <c r="E240" s="29"/>
      <c r="F240" s="29"/>
      <c r="G240" s="29"/>
      <c r="H240" s="29"/>
      <c r="I240" s="29"/>
      <c r="J240" s="29"/>
      <c r="K240" s="29"/>
      <c r="L240" s="29"/>
      <c r="M240" s="30"/>
    </row>
    <row r="241" spans="2:13" s="27" customFormat="1" x14ac:dyDescent="0.25">
      <c r="B241" s="23"/>
      <c r="C241" s="28"/>
      <c r="D241" s="29"/>
      <c r="E241" s="29"/>
      <c r="F241" s="29"/>
      <c r="G241" s="29"/>
      <c r="H241" s="29"/>
      <c r="I241" s="29"/>
      <c r="J241" s="29"/>
      <c r="K241" s="29"/>
      <c r="L241" s="29"/>
      <c r="M241" s="30"/>
    </row>
    <row r="242" spans="2:13" s="27" customFormat="1" x14ac:dyDescent="0.25">
      <c r="B242" s="23"/>
      <c r="C242" s="28"/>
      <c r="D242" s="29"/>
      <c r="E242" s="29"/>
      <c r="F242" s="29"/>
      <c r="G242" s="29"/>
      <c r="H242" s="29"/>
      <c r="I242" s="29"/>
      <c r="J242" s="29"/>
      <c r="K242" s="29"/>
      <c r="L242" s="29"/>
      <c r="M242" s="30"/>
    </row>
    <row r="243" spans="2:13" s="27" customFormat="1" x14ac:dyDescent="0.25">
      <c r="B243" s="23"/>
      <c r="C243" s="28"/>
      <c r="D243" s="29"/>
      <c r="E243" s="29"/>
      <c r="F243" s="29"/>
      <c r="G243" s="29"/>
      <c r="H243" s="29"/>
      <c r="I243" s="29"/>
      <c r="J243" s="29"/>
      <c r="K243" s="29"/>
      <c r="L243" s="29"/>
      <c r="M243" s="30"/>
    </row>
    <row r="244" spans="2:13" s="27" customFormat="1" x14ac:dyDescent="0.25">
      <c r="B244" s="23"/>
      <c r="C244" s="28"/>
      <c r="D244" s="29"/>
      <c r="E244" s="29"/>
      <c r="F244" s="29"/>
      <c r="G244" s="29"/>
      <c r="H244" s="29"/>
      <c r="I244" s="29"/>
      <c r="J244" s="29"/>
      <c r="K244" s="29"/>
      <c r="L244" s="29"/>
      <c r="M244" s="30"/>
    </row>
    <row r="245" spans="2:13" s="27" customFormat="1" x14ac:dyDescent="0.25">
      <c r="B245" s="23"/>
      <c r="C245" s="28"/>
      <c r="D245" s="29"/>
      <c r="E245" s="29"/>
      <c r="F245" s="29"/>
      <c r="G245" s="29"/>
      <c r="H245" s="29"/>
      <c r="I245" s="29"/>
      <c r="J245" s="29"/>
      <c r="K245" s="29"/>
      <c r="L245" s="29"/>
      <c r="M245" s="30"/>
    </row>
    <row r="246" spans="2:13" s="27" customFormat="1" x14ac:dyDescent="0.25">
      <c r="B246" s="23"/>
      <c r="C246" s="28"/>
      <c r="D246" s="29"/>
      <c r="E246" s="29"/>
      <c r="F246" s="29"/>
      <c r="G246" s="29"/>
      <c r="H246" s="29"/>
      <c r="I246" s="29"/>
      <c r="J246" s="29"/>
      <c r="K246" s="29"/>
      <c r="L246" s="29"/>
      <c r="M246" s="30"/>
    </row>
    <row r="247" spans="2:13" s="27" customFormat="1" x14ac:dyDescent="0.25">
      <c r="B247" s="23"/>
      <c r="C247" s="28"/>
      <c r="D247" s="29"/>
      <c r="E247" s="29"/>
      <c r="F247" s="29"/>
      <c r="G247" s="29"/>
      <c r="H247" s="29"/>
      <c r="I247" s="29"/>
      <c r="J247" s="29"/>
      <c r="K247" s="29"/>
      <c r="L247" s="29"/>
      <c r="M247" s="30"/>
    </row>
    <row r="248" spans="2:13" s="27" customFormat="1" x14ac:dyDescent="0.25">
      <c r="B248" s="23"/>
      <c r="C248" s="28"/>
      <c r="D248" s="29"/>
      <c r="E248" s="29"/>
      <c r="F248" s="29"/>
      <c r="G248" s="29"/>
      <c r="H248" s="29"/>
      <c r="I248" s="29"/>
      <c r="J248" s="29"/>
      <c r="K248" s="29"/>
      <c r="L248" s="29"/>
      <c r="M248" s="30"/>
    </row>
    <row r="249" spans="2:13" s="27" customFormat="1" x14ac:dyDescent="0.25">
      <c r="B249" s="23"/>
      <c r="C249" s="28"/>
      <c r="D249" s="29"/>
      <c r="E249" s="29"/>
      <c r="F249" s="29"/>
      <c r="G249" s="29"/>
      <c r="H249" s="29"/>
      <c r="I249" s="29"/>
      <c r="J249" s="29"/>
      <c r="K249" s="29"/>
      <c r="L249" s="29"/>
      <c r="M249" s="30"/>
    </row>
    <row r="250" spans="2:13" s="27" customFormat="1" x14ac:dyDescent="0.25">
      <c r="B250" s="23"/>
      <c r="C250" s="28"/>
      <c r="D250" s="29"/>
      <c r="E250" s="29"/>
      <c r="F250" s="29"/>
      <c r="G250" s="29"/>
      <c r="H250" s="29"/>
      <c r="I250" s="29"/>
      <c r="J250" s="29"/>
      <c r="K250" s="29"/>
      <c r="L250" s="29"/>
      <c r="M250" s="30"/>
    </row>
    <row r="251" spans="2:13" s="27" customFormat="1" x14ac:dyDescent="0.25">
      <c r="B251" s="23"/>
      <c r="C251" s="28"/>
      <c r="D251" s="29"/>
      <c r="E251" s="29"/>
      <c r="F251" s="29"/>
      <c r="G251" s="29"/>
      <c r="H251" s="29"/>
      <c r="I251" s="29"/>
      <c r="J251" s="29"/>
      <c r="K251" s="29"/>
      <c r="L251" s="29"/>
      <c r="M251" s="30"/>
    </row>
    <row r="252" spans="2:13" s="27" customFormat="1" x14ac:dyDescent="0.25">
      <c r="B252" s="23"/>
      <c r="C252" s="28"/>
      <c r="D252" s="29"/>
      <c r="E252" s="29"/>
      <c r="F252" s="29"/>
      <c r="G252" s="29"/>
      <c r="H252" s="29"/>
      <c r="I252" s="29"/>
      <c r="J252" s="29"/>
      <c r="K252" s="29"/>
      <c r="L252" s="29"/>
      <c r="M252" s="30"/>
    </row>
    <row r="253" spans="2:13" s="27" customFormat="1" x14ac:dyDescent="0.25">
      <c r="B253" s="23"/>
      <c r="C253" s="28"/>
      <c r="D253" s="29"/>
      <c r="E253" s="29"/>
      <c r="F253" s="29"/>
      <c r="G253" s="29"/>
      <c r="H253" s="29"/>
      <c r="I253" s="29"/>
      <c r="J253" s="29"/>
      <c r="K253" s="29"/>
      <c r="L253" s="29"/>
      <c r="M253" s="30"/>
    </row>
    <row r="254" spans="2:13" s="27" customFormat="1" x14ac:dyDescent="0.25">
      <c r="B254" s="23"/>
      <c r="C254" s="28"/>
      <c r="D254" s="29"/>
      <c r="E254" s="29"/>
      <c r="F254" s="29"/>
      <c r="G254" s="29"/>
      <c r="H254" s="29"/>
      <c r="I254" s="29"/>
      <c r="J254" s="29"/>
      <c r="K254" s="29"/>
      <c r="L254" s="29"/>
      <c r="M254" s="30"/>
    </row>
    <row r="255" spans="2:13" s="27" customFormat="1" x14ac:dyDescent="0.25">
      <c r="B255" s="23"/>
      <c r="C255" s="28"/>
      <c r="D255" s="29"/>
      <c r="E255" s="29"/>
      <c r="F255" s="29"/>
      <c r="G255" s="29"/>
      <c r="H255" s="29"/>
      <c r="I255" s="29"/>
      <c r="J255" s="29"/>
      <c r="K255" s="29"/>
      <c r="L255" s="29"/>
      <c r="M255" s="30"/>
    </row>
    <row r="256" spans="2:13" s="27" customFormat="1" x14ac:dyDescent="0.25">
      <c r="B256" s="23"/>
      <c r="C256" s="28"/>
      <c r="D256" s="29"/>
      <c r="E256" s="29"/>
      <c r="F256" s="29"/>
      <c r="G256" s="29"/>
      <c r="H256" s="29"/>
      <c r="I256" s="29"/>
      <c r="J256" s="29"/>
      <c r="K256" s="29"/>
      <c r="L256" s="29"/>
      <c r="M256" s="30"/>
    </row>
    <row r="257" spans="2:13" s="27" customFormat="1" x14ac:dyDescent="0.25">
      <c r="B257" s="23"/>
      <c r="C257" s="28"/>
      <c r="D257" s="29"/>
      <c r="E257" s="29"/>
      <c r="F257" s="29"/>
      <c r="G257" s="29"/>
      <c r="H257" s="29"/>
      <c r="I257" s="29"/>
      <c r="J257" s="29"/>
      <c r="K257" s="29"/>
      <c r="L257" s="29"/>
      <c r="M257" s="30"/>
    </row>
    <row r="258" spans="2:13" s="27" customFormat="1" x14ac:dyDescent="0.25">
      <c r="B258" s="23"/>
      <c r="C258" s="28"/>
      <c r="D258" s="29"/>
      <c r="E258" s="29"/>
      <c r="F258" s="29"/>
      <c r="G258" s="29"/>
      <c r="H258" s="29"/>
      <c r="I258" s="29"/>
      <c r="J258" s="29"/>
      <c r="K258" s="29"/>
      <c r="L258" s="29"/>
      <c r="M258" s="30"/>
    </row>
    <row r="259" spans="2:13" s="27" customFormat="1" x14ac:dyDescent="0.25">
      <c r="B259" s="23"/>
      <c r="C259" s="28"/>
      <c r="D259" s="29"/>
      <c r="E259" s="29"/>
      <c r="F259" s="29"/>
      <c r="G259" s="29"/>
      <c r="H259" s="29"/>
      <c r="I259" s="29"/>
      <c r="J259" s="29"/>
      <c r="K259" s="29"/>
      <c r="L259" s="29"/>
      <c r="M259" s="30"/>
    </row>
    <row r="260" spans="2:13" s="27" customFormat="1" x14ac:dyDescent="0.25">
      <c r="B260" s="23"/>
      <c r="C260" s="28"/>
      <c r="D260" s="29"/>
      <c r="E260" s="29"/>
      <c r="F260" s="29"/>
      <c r="G260" s="29"/>
      <c r="H260" s="29"/>
      <c r="I260" s="29"/>
      <c r="J260" s="29"/>
      <c r="K260" s="29"/>
      <c r="L260" s="29"/>
      <c r="M260" s="30"/>
    </row>
    <row r="261" spans="2:13" s="27" customFormat="1" x14ac:dyDescent="0.25">
      <c r="B261" s="23"/>
      <c r="C261" s="28"/>
      <c r="D261" s="29"/>
      <c r="E261" s="29"/>
      <c r="F261" s="29"/>
      <c r="G261" s="29"/>
      <c r="H261" s="29"/>
      <c r="I261" s="29"/>
      <c r="J261" s="29"/>
      <c r="K261" s="29"/>
      <c r="L261" s="29"/>
      <c r="M261" s="30"/>
    </row>
    <row r="262" spans="2:13" s="27" customFormat="1" x14ac:dyDescent="0.25">
      <c r="B262" s="23"/>
      <c r="C262" s="28"/>
      <c r="D262" s="29"/>
      <c r="E262" s="29"/>
      <c r="F262" s="29"/>
      <c r="G262" s="29"/>
      <c r="H262" s="29"/>
      <c r="I262" s="29"/>
      <c r="J262" s="29"/>
      <c r="K262" s="29"/>
      <c r="L262" s="29"/>
      <c r="M262" s="30"/>
    </row>
    <row r="263" spans="2:13" s="27" customFormat="1" x14ac:dyDescent="0.25">
      <c r="B263" s="23"/>
      <c r="C263" s="28"/>
      <c r="D263" s="29"/>
      <c r="E263" s="29"/>
      <c r="F263" s="29"/>
      <c r="G263" s="29"/>
      <c r="H263" s="29"/>
      <c r="I263" s="29"/>
      <c r="J263" s="29"/>
      <c r="K263" s="29"/>
      <c r="L263" s="29"/>
      <c r="M263" s="30"/>
    </row>
    <row r="264" spans="2:13" s="27" customFormat="1" x14ac:dyDescent="0.25">
      <c r="B264" s="23"/>
      <c r="C264" s="28"/>
      <c r="D264" s="29"/>
      <c r="E264" s="29"/>
      <c r="F264" s="29"/>
      <c r="G264" s="29"/>
      <c r="H264" s="29"/>
      <c r="I264" s="29"/>
      <c r="J264" s="29"/>
      <c r="K264" s="29"/>
      <c r="L264" s="29"/>
      <c r="M264" s="30"/>
    </row>
    <row r="265" spans="2:13" s="27" customFormat="1" x14ac:dyDescent="0.25">
      <c r="B265" s="23"/>
      <c r="C265" s="28"/>
      <c r="D265" s="29"/>
      <c r="E265" s="29"/>
      <c r="F265" s="29"/>
      <c r="G265" s="29"/>
      <c r="H265" s="29"/>
      <c r="I265" s="29"/>
      <c r="J265" s="29"/>
      <c r="K265" s="29"/>
      <c r="L265" s="29"/>
      <c r="M265" s="30"/>
    </row>
    <row r="266" spans="2:13" s="27" customFormat="1" x14ac:dyDescent="0.25">
      <c r="B266" s="23"/>
      <c r="C266" s="28"/>
      <c r="D266" s="29"/>
      <c r="E266" s="29"/>
      <c r="F266" s="29"/>
      <c r="G266" s="29"/>
      <c r="H266" s="29"/>
      <c r="I266" s="29"/>
      <c r="J266" s="29"/>
      <c r="K266" s="29"/>
      <c r="L266" s="29"/>
      <c r="M266" s="30"/>
    </row>
    <row r="267" spans="2:13" s="27" customFormat="1" x14ac:dyDescent="0.25">
      <c r="B267" s="23"/>
      <c r="C267" s="28"/>
      <c r="D267" s="29"/>
      <c r="E267" s="29"/>
      <c r="F267" s="29"/>
      <c r="G267" s="29"/>
      <c r="H267" s="29"/>
      <c r="I267" s="29"/>
      <c r="J267" s="29"/>
      <c r="K267" s="29"/>
      <c r="L267" s="29"/>
      <c r="M267" s="30"/>
    </row>
    <row r="268" spans="2:13" s="27" customFormat="1" x14ac:dyDescent="0.25">
      <c r="B268" s="23"/>
      <c r="C268" s="28"/>
      <c r="D268" s="29"/>
      <c r="E268" s="29"/>
      <c r="F268" s="29"/>
      <c r="G268" s="29"/>
      <c r="H268" s="29"/>
      <c r="I268" s="29"/>
      <c r="J268" s="29"/>
      <c r="K268" s="29"/>
      <c r="L268" s="29"/>
      <c r="M268" s="30"/>
    </row>
    <row r="269" spans="2:13" s="27" customFormat="1" x14ac:dyDescent="0.25">
      <c r="B269" s="23"/>
      <c r="C269" s="28"/>
      <c r="D269" s="29"/>
      <c r="E269" s="29"/>
      <c r="F269" s="29"/>
      <c r="G269" s="29"/>
      <c r="H269" s="29"/>
      <c r="I269" s="29"/>
      <c r="J269" s="29"/>
      <c r="K269" s="29"/>
      <c r="L269" s="29"/>
      <c r="M269" s="30"/>
    </row>
  </sheetData>
  <mergeCells count="9">
    <mergeCell ref="A199:C199"/>
    <mergeCell ref="L8:L9"/>
    <mergeCell ref="M8:M9"/>
    <mergeCell ref="A8:A10"/>
    <mergeCell ref="B8:B10"/>
    <mergeCell ref="C8:C10"/>
    <mergeCell ref="D8:D9"/>
    <mergeCell ref="E8:J8"/>
    <mergeCell ref="K8:K9"/>
  </mergeCells>
  <printOptions horizontalCentered="1" verticalCentered="1"/>
  <pageMargins left="0.11811023622047245" right="0.31496062992125984" top="0.35433070866141736" bottom="0.55118110236220474" header="0.31496062992125984" footer="0.31496062992125984"/>
  <pageSetup paperSize="261" scale="60" orientation="landscape" r:id="rId1"/>
  <headerFooter>
    <oddFooter>&amp;CPágina &amp;P</oddFooter>
  </headerFooter>
  <rowBreaks count="1" manualBreakCount="1">
    <brk id="1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B181"/>
  <sheetViews>
    <sheetView showGridLines="0" topLeftCell="A175" zoomScale="77" zoomScaleNormal="77" zoomScaleSheetLayoutView="98" workbookViewId="0">
      <selection activeCell="AZ10" sqref="AZ10"/>
    </sheetView>
  </sheetViews>
  <sheetFormatPr baseColWidth="10" defaultRowHeight="15" x14ac:dyDescent="0.25"/>
  <cols>
    <col min="1" max="1" width="14.7109375" style="1" customWidth="1"/>
    <col min="2" max="2" width="8.7109375" style="15" customWidth="1"/>
    <col min="3" max="3" width="38.7109375" style="2" customWidth="1"/>
    <col min="4" max="4" width="20.28515625" style="3" customWidth="1"/>
    <col min="5" max="5" width="11.140625" style="3" hidden="1" customWidth="1"/>
    <col min="6" max="6" width="17.7109375" style="3" hidden="1" customWidth="1"/>
    <col min="7" max="7" width="16.140625" style="3" hidden="1" customWidth="1"/>
    <col min="8" max="8" width="18.5703125" style="3" hidden="1" customWidth="1"/>
    <col min="9" max="9" width="19" style="3" hidden="1" customWidth="1"/>
    <col min="10" max="10" width="18.140625" style="12" hidden="1" customWidth="1"/>
    <col min="11" max="11" width="19.42578125" style="12" customWidth="1"/>
    <col min="12" max="12" width="20.5703125" style="3" customWidth="1"/>
    <col min="13" max="13" width="17" style="20" customWidth="1"/>
    <col min="14" max="14" width="29.140625" style="1" hidden="1" customWidth="1"/>
    <col min="15" max="16" width="19" style="1" hidden="1" customWidth="1"/>
    <col min="17" max="50" width="0" style="1" hidden="1" customWidth="1"/>
    <col min="51" max="51" width="14.42578125" style="1" bestFit="1" customWidth="1"/>
    <col min="52" max="52" width="16.140625" style="1" bestFit="1" customWidth="1"/>
    <col min="53" max="53" width="11.42578125" style="1"/>
    <col min="54" max="54" width="14.42578125" style="1" bestFit="1" customWidth="1"/>
    <col min="55" max="16384" width="11.42578125" style="1"/>
  </cols>
  <sheetData>
    <row r="1" spans="1:16" ht="15.75" thickBot="1" x14ac:dyDescent="0.3">
      <c r="A1" s="4"/>
      <c r="C1" s="11"/>
      <c r="D1" s="12"/>
      <c r="E1" s="12"/>
      <c r="F1" s="12"/>
      <c r="G1" s="12"/>
      <c r="H1" s="12"/>
      <c r="I1" s="12"/>
      <c r="L1" s="12"/>
      <c r="M1" s="19"/>
    </row>
    <row r="2" spans="1:16" ht="20.100000000000001" customHeight="1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6" ht="20.100000000000001" customHeight="1" x14ac:dyDescent="0.25">
      <c r="A3" s="10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6" ht="20.100000000000001" customHeight="1" x14ac:dyDescent="0.25">
      <c r="A4" s="10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6" ht="20.100000000000001" customHeight="1" x14ac:dyDescent="0.25">
      <c r="A5" s="10"/>
      <c r="C5" s="44" t="s">
        <v>207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6" ht="20.100000000000001" customHeight="1" x14ac:dyDescent="0.25">
      <c r="A6" s="10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6" ht="20.100000000000001" customHeight="1" thickBot="1" x14ac:dyDescent="0.3">
      <c r="A7" s="10"/>
      <c r="C7" s="11"/>
      <c r="D7" s="12"/>
      <c r="E7" s="12"/>
      <c r="F7" s="12"/>
      <c r="G7" s="12"/>
      <c r="H7" s="12"/>
      <c r="I7" s="12"/>
      <c r="L7" s="12"/>
      <c r="M7" s="43"/>
    </row>
    <row r="8" spans="1:16" ht="33.75" customHeight="1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126</v>
      </c>
    </row>
    <row r="9" spans="1:16" ht="54.75" customHeight="1" x14ac:dyDescent="0.25">
      <c r="A9" s="262"/>
      <c r="B9" s="262"/>
      <c r="C9" s="262"/>
      <c r="D9" s="257"/>
      <c r="E9" s="85" t="s">
        <v>110</v>
      </c>
      <c r="F9" s="85" t="s">
        <v>111</v>
      </c>
      <c r="G9" s="85" t="s">
        <v>112</v>
      </c>
      <c r="H9" s="85" t="s">
        <v>113</v>
      </c>
      <c r="I9" s="85" t="s">
        <v>114</v>
      </c>
      <c r="J9" s="85" t="s">
        <v>115</v>
      </c>
      <c r="K9" s="257"/>
      <c r="L9" s="257" t="s">
        <v>0</v>
      </c>
      <c r="M9" s="257" t="s">
        <v>1</v>
      </c>
    </row>
    <row r="10" spans="1:16" s="47" customFormat="1" ht="24.95" customHeight="1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6" s="40" customFormat="1" ht="25.5" customHeight="1" thickBot="1" x14ac:dyDescent="0.3">
      <c r="A11" s="89" t="s">
        <v>2</v>
      </c>
      <c r="B11" s="90"/>
      <c r="C11" s="91" t="s">
        <v>3</v>
      </c>
      <c r="D11" s="92">
        <f t="shared" ref="D11:L11" si="0">+D12+D50+D119</f>
        <v>70466770939</v>
      </c>
      <c r="E11" s="92">
        <f t="shared" si="0"/>
        <v>0</v>
      </c>
      <c r="F11" s="92">
        <f t="shared" si="0"/>
        <v>0</v>
      </c>
      <c r="G11" s="92">
        <f t="shared" si="0"/>
        <v>0</v>
      </c>
      <c r="H11" s="92">
        <f t="shared" si="0"/>
        <v>13786491532</v>
      </c>
      <c r="I11" s="92">
        <f t="shared" si="0"/>
        <v>13786491532</v>
      </c>
      <c r="J11" s="93">
        <f t="shared" ref="J11:J74" si="1">E11-F11-G11+H11-I11</f>
        <v>0</v>
      </c>
      <c r="K11" s="92">
        <f t="shared" si="0"/>
        <v>70466770939</v>
      </c>
      <c r="L11" s="92">
        <f t="shared" si="0"/>
        <v>69401168393.929993</v>
      </c>
      <c r="M11" s="94">
        <f>+L11/K11</f>
        <v>0.98487794273995533</v>
      </c>
      <c r="N11" s="150">
        <f>+K11-[1]Abril!D10</f>
        <v>0</v>
      </c>
    </row>
    <row r="12" spans="1:16" s="4" customFormat="1" ht="15.75" x14ac:dyDescent="0.25">
      <c r="A12" s="128">
        <v>1</v>
      </c>
      <c r="B12" s="129"/>
      <c r="C12" s="130" t="s">
        <v>4</v>
      </c>
      <c r="D12" s="132">
        <f t="shared" ref="D12:L12" si="2">+D13</f>
        <v>40643922123</v>
      </c>
      <c r="E12" s="132">
        <f t="shared" si="2"/>
        <v>0</v>
      </c>
      <c r="F12" s="132">
        <f t="shared" si="2"/>
        <v>0</v>
      </c>
      <c r="G12" s="132">
        <f t="shared" si="2"/>
        <v>0</v>
      </c>
      <c r="H12" s="132">
        <f t="shared" si="2"/>
        <v>8906973864</v>
      </c>
      <c r="I12" s="132">
        <f t="shared" si="2"/>
        <v>4033645180</v>
      </c>
      <c r="J12" s="132">
        <f t="shared" si="1"/>
        <v>4873328684</v>
      </c>
      <c r="K12" s="132">
        <f t="shared" si="2"/>
        <v>45517250807</v>
      </c>
      <c r="L12" s="132">
        <f t="shared" si="2"/>
        <v>44595417762</v>
      </c>
      <c r="M12" s="133">
        <f t="shared" ref="M12:M77" si="3">+L12/K12</f>
        <v>0.97974761153944223</v>
      </c>
      <c r="N12" s="145">
        <f>+K12-[1]Julio!D11</f>
        <v>470279868</v>
      </c>
    </row>
    <row r="13" spans="1:16" s="4" customFormat="1" ht="15.75" x14ac:dyDescent="0.25">
      <c r="A13" s="111">
        <v>10</v>
      </c>
      <c r="B13" s="108"/>
      <c r="C13" s="109" t="s">
        <v>4</v>
      </c>
      <c r="D13" s="16">
        <f t="shared" ref="D13:L13" si="4">+D14+D35+D39</f>
        <v>40643922123</v>
      </c>
      <c r="E13" s="16">
        <f t="shared" si="4"/>
        <v>0</v>
      </c>
      <c r="F13" s="16">
        <f t="shared" si="4"/>
        <v>0</v>
      </c>
      <c r="G13" s="16">
        <f t="shared" si="4"/>
        <v>0</v>
      </c>
      <c r="H13" s="16">
        <f t="shared" si="4"/>
        <v>8906973864</v>
      </c>
      <c r="I13" s="16">
        <f t="shared" si="4"/>
        <v>4033645180</v>
      </c>
      <c r="J13" s="16">
        <f t="shared" si="1"/>
        <v>4873328684</v>
      </c>
      <c r="K13" s="16">
        <f>+K14+K35+K39</f>
        <v>45517250807</v>
      </c>
      <c r="L13" s="16">
        <f t="shared" si="4"/>
        <v>44595417762</v>
      </c>
      <c r="M13" s="110">
        <f t="shared" si="3"/>
        <v>0.97974761153944223</v>
      </c>
      <c r="N13" s="145">
        <f>+K13-[1]Julio!D12</f>
        <v>470279868</v>
      </c>
    </row>
    <row r="14" spans="1:16" s="4" customFormat="1" ht="43.5" customHeight="1" x14ac:dyDescent="0.25">
      <c r="A14" s="111">
        <v>101</v>
      </c>
      <c r="B14" s="108"/>
      <c r="C14" s="109" t="s">
        <v>5</v>
      </c>
      <c r="D14" s="16">
        <f t="shared" ref="D14:L14" si="5">+D15+D19+D22+D31+D32</f>
        <v>25978311000</v>
      </c>
      <c r="E14" s="16">
        <f t="shared" si="5"/>
        <v>0</v>
      </c>
      <c r="F14" s="16">
        <f t="shared" si="5"/>
        <v>0</v>
      </c>
      <c r="G14" s="16">
        <f t="shared" si="5"/>
        <v>0</v>
      </c>
      <c r="H14" s="16">
        <f t="shared" si="5"/>
        <v>3762001897</v>
      </c>
      <c r="I14" s="16">
        <f t="shared" si="5"/>
        <v>3330123897</v>
      </c>
      <c r="J14" s="16">
        <f t="shared" si="1"/>
        <v>431878000</v>
      </c>
      <c r="K14" s="16">
        <f t="shared" si="5"/>
        <v>26410189000</v>
      </c>
      <c r="L14" s="16">
        <f t="shared" si="5"/>
        <v>25816606497</v>
      </c>
      <c r="M14" s="110">
        <f t="shared" si="3"/>
        <v>0.97752448863580643</v>
      </c>
      <c r="N14" s="145">
        <f>+K14-[1]Julio!D13</f>
        <v>-1469164000</v>
      </c>
      <c r="O14" s="12">
        <v>45647668331</v>
      </c>
      <c r="P14" s="146">
        <f>+O14-K13</f>
        <v>130417524</v>
      </c>
    </row>
    <row r="15" spans="1:16" s="4" customFormat="1" ht="15.75" x14ac:dyDescent="0.25">
      <c r="A15" s="111">
        <v>1011</v>
      </c>
      <c r="B15" s="108"/>
      <c r="C15" s="109" t="s">
        <v>6</v>
      </c>
      <c r="D15" s="16">
        <f t="shared" ref="D15:L15" si="6">+D16+D17+D18</f>
        <v>17880100000</v>
      </c>
      <c r="E15" s="16">
        <f t="shared" si="6"/>
        <v>0</v>
      </c>
      <c r="F15" s="16">
        <f t="shared" si="6"/>
        <v>0</v>
      </c>
      <c r="G15" s="16">
        <f t="shared" si="6"/>
        <v>0</v>
      </c>
      <c r="H15" s="16">
        <f t="shared" si="6"/>
        <v>1887664897</v>
      </c>
      <c r="I15" s="16">
        <f t="shared" si="6"/>
        <v>1019814897</v>
      </c>
      <c r="J15" s="16">
        <f t="shared" si="1"/>
        <v>867850000</v>
      </c>
      <c r="K15" s="16">
        <f t="shared" si="6"/>
        <v>18747950000</v>
      </c>
      <c r="L15" s="16">
        <f t="shared" si="6"/>
        <v>18516783163</v>
      </c>
      <c r="M15" s="110">
        <f t="shared" si="3"/>
        <v>0.98766975391976186</v>
      </c>
      <c r="N15" s="145">
        <f>+K15-[1]Julio!D14</f>
        <v>-635024000</v>
      </c>
    </row>
    <row r="16" spans="1:16" s="4" customFormat="1" ht="24.95" customHeight="1" x14ac:dyDescent="0.25">
      <c r="A16" s="111">
        <v>10111</v>
      </c>
      <c r="B16" s="108">
        <v>20</v>
      </c>
      <c r="C16" s="109" t="s">
        <v>7</v>
      </c>
      <c r="D16" s="16">
        <v>15998782187</v>
      </c>
      <c r="E16" s="16">
        <v>0</v>
      </c>
      <c r="F16" s="16">
        <v>0</v>
      </c>
      <c r="G16" s="16">
        <v>0</v>
      </c>
      <c r="H16" s="16">
        <f>1407940000+384790897</f>
        <v>1792730897</v>
      </c>
      <c r="I16" s="16">
        <v>0</v>
      </c>
      <c r="J16" s="16">
        <f t="shared" si="1"/>
        <v>1792730897</v>
      </c>
      <c r="K16" s="16">
        <f t="shared" ref="K16:K81" si="7">D16+J16</f>
        <v>17791513084</v>
      </c>
      <c r="L16" s="16">
        <v>17791513081</v>
      </c>
      <c r="M16" s="110">
        <f t="shared" si="3"/>
        <v>0.99999999983138033</v>
      </c>
      <c r="N16" s="145">
        <f>+K16-[1]Julio!D15</f>
        <v>384790897</v>
      </c>
    </row>
    <row r="17" spans="1:14" s="4" customFormat="1" ht="24.95" customHeight="1" x14ac:dyDescent="0.25">
      <c r="A17" s="111">
        <v>10112</v>
      </c>
      <c r="B17" s="108">
        <v>20</v>
      </c>
      <c r="C17" s="109" t="s">
        <v>8</v>
      </c>
      <c r="D17" s="16">
        <v>1240030241</v>
      </c>
      <c r="E17" s="16">
        <v>0</v>
      </c>
      <c r="F17" s="16">
        <v>0</v>
      </c>
      <c r="G17" s="16">
        <v>0</v>
      </c>
      <c r="H17" s="16">
        <v>0</v>
      </c>
      <c r="I17" s="16">
        <f>188407000+384790897</f>
        <v>573197897</v>
      </c>
      <c r="J17" s="16">
        <f t="shared" si="1"/>
        <v>-573197897</v>
      </c>
      <c r="K17" s="16">
        <f t="shared" si="7"/>
        <v>666832344</v>
      </c>
      <c r="L17" s="16">
        <v>657231572</v>
      </c>
      <c r="M17" s="110">
        <f t="shared" si="3"/>
        <v>0.98560242002898413</v>
      </c>
      <c r="N17" s="145">
        <f>+K17-[1]Julio!D16</f>
        <v>-573197897</v>
      </c>
    </row>
    <row r="18" spans="1:14" s="4" customFormat="1" ht="33.75" customHeight="1" x14ac:dyDescent="0.25">
      <c r="A18" s="111">
        <v>10114</v>
      </c>
      <c r="B18" s="108">
        <v>20</v>
      </c>
      <c r="C18" s="109" t="s">
        <v>9</v>
      </c>
      <c r="D18" s="16">
        <v>641287572</v>
      </c>
      <c r="E18" s="16">
        <v>0</v>
      </c>
      <c r="F18" s="16">
        <v>0</v>
      </c>
      <c r="G18" s="16">
        <v>0</v>
      </c>
      <c r="H18" s="16">
        <v>94934000</v>
      </c>
      <c r="I18" s="16">
        <v>446617000</v>
      </c>
      <c r="J18" s="16">
        <f t="shared" si="1"/>
        <v>-351683000</v>
      </c>
      <c r="K18" s="16">
        <f>D18+J18</f>
        <v>289604572</v>
      </c>
      <c r="L18" s="16">
        <v>68038510</v>
      </c>
      <c r="M18" s="110">
        <f t="shared" si="3"/>
        <v>0.23493589735178627</v>
      </c>
      <c r="N18" s="145">
        <f>+K18-[1]Julio!D17</f>
        <v>-446617000</v>
      </c>
    </row>
    <row r="19" spans="1:14" s="4" customFormat="1" ht="15.75" x14ac:dyDescent="0.25">
      <c r="A19" s="111">
        <v>1014</v>
      </c>
      <c r="B19" s="108"/>
      <c r="C19" s="109" t="s">
        <v>10</v>
      </c>
      <c r="D19" s="16">
        <f>+D21+D20</f>
        <v>2855100000</v>
      </c>
      <c r="E19" s="16">
        <f t="shared" ref="E19:I19" si="8">+E21+E20</f>
        <v>0</v>
      </c>
      <c r="F19" s="16">
        <f t="shared" si="8"/>
        <v>0</v>
      </c>
      <c r="G19" s="16">
        <f t="shared" si="8"/>
        <v>0</v>
      </c>
      <c r="H19" s="16">
        <f t="shared" si="8"/>
        <v>1081044000</v>
      </c>
      <c r="I19" s="16">
        <f t="shared" si="8"/>
        <v>985442000</v>
      </c>
      <c r="J19" s="16">
        <f t="shared" si="1"/>
        <v>95602000</v>
      </c>
      <c r="K19" s="16">
        <f>D19+J19</f>
        <v>2950702000</v>
      </c>
      <c r="L19" s="16">
        <f>+L20+L21</f>
        <v>2929342651</v>
      </c>
      <c r="M19" s="110">
        <f>+L19/K19</f>
        <v>0.9927612652853457</v>
      </c>
      <c r="N19" s="145">
        <f>+K19-[1]Julio!D18</f>
        <v>-985442000</v>
      </c>
    </row>
    <row r="20" spans="1:14" s="4" customFormat="1" ht="24.95" customHeight="1" x14ac:dyDescent="0.25">
      <c r="A20" s="111">
        <v>10141</v>
      </c>
      <c r="B20" s="108">
        <v>20</v>
      </c>
      <c r="C20" s="109" t="s">
        <v>162</v>
      </c>
      <c r="D20" s="16">
        <v>292540344</v>
      </c>
      <c r="E20" s="16"/>
      <c r="F20" s="16"/>
      <c r="G20" s="16">
        <v>0</v>
      </c>
      <c r="H20" s="16">
        <v>71735000</v>
      </c>
      <c r="I20" s="16">
        <f>37731000+27592000</f>
        <v>65323000</v>
      </c>
      <c r="J20" s="16">
        <f t="shared" si="1"/>
        <v>6412000</v>
      </c>
      <c r="K20" s="16">
        <f>D20+J20</f>
        <v>298952344</v>
      </c>
      <c r="L20" s="16">
        <v>297996378</v>
      </c>
      <c r="M20" s="110">
        <f t="shared" si="3"/>
        <v>0.99680227963022761</v>
      </c>
      <c r="N20" s="145"/>
    </row>
    <row r="21" spans="1:14" s="4" customFormat="1" ht="24.95" customHeight="1" x14ac:dyDescent="0.25">
      <c r="A21" s="111">
        <v>10142</v>
      </c>
      <c r="B21" s="108">
        <v>20</v>
      </c>
      <c r="C21" s="109" t="s">
        <v>11</v>
      </c>
      <c r="D21" s="16">
        <v>2562559656</v>
      </c>
      <c r="E21" s="16">
        <v>0</v>
      </c>
      <c r="F21" s="16">
        <v>0</v>
      </c>
      <c r="G21" s="16">
        <v>0</v>
      </c>
      <c r="H21" s="16">
        <v>1009309000</v>
      </c>
      <c r="I21" s="16">
        <f>802360000+117759000</f>
        <v>920119000</v>
      </c>
      <c r="J21" s="16">
        <f t="shared" si="1"/>
        <v>89190000</v>
      </c>
      <c r="K21" s="16">
        <f>D21+J21</f>
        <v>2651749656</v>
      </c>
      <c r="L21" s="16">
        <v>2631346273</v>
      </c>
      <c r="M21" s="110">
        <f t="shared" si="3"/>
        <v>0.99230569033776095</v>
      </c>
      <c r="N21" s="145">
        <f>+K21-[1]Julio!D20</f>
        <v>-920119000</v>
      </c>
    </row>
    <row r="22" spans="1:14" s="4" customFormat="1" ht="15.75" customHeight="1" x14ac:dyDescent="0.25">
      <c r="A22" s="111">
        <v>1015</v>
      </c>
      <c r="B22" s="108"/>
      <c r="C22" s="109" t="s">
        <v>12</v>
      </c>
      <c r="D22" s="16">
        <f t="shared" ref="D22:I22" si="9">SUM(D23:D30)</f>
        <v>3906800000</v>
      </c>
      <c r="E22" s="16">
        <f t="shared" si="9"/>
        <v>0</v>
      </c>
      <c r="F22" s="16">
        <f t="shared" si="9"/>
        <v>0</v>
      </c>
      <c r="G22" s="16">
        <f t="shared" si="9"/>
        <v>0</v>
      </c>
      <c r="H22" s="16">
        <f t="shared" si="9"/>
        <v>292498000</v>
      </c>
      <c r="I22" s="16">
        <f t="shared" si="9"/>
        <v>183556000</v>
      </c>
      <c r="J22" s="16">
        <f t="shared" si="1"/>
        <v>108942000</v>
      </c>
      <c r="K22" s="16">
        <f t="shared" si="7"/>
        <v>4015742000</v>
      </c>
      <c r="L22" s="16">
        <f>SUM(L23:L30)</f>
        <v>3871806404</v>
      </c>
      <c r="M22" s="110">
        <f t="shared" si="3"/>
        <v>0.96415716049487243</v>
      </c>
      <c r="N22" s="145">
        <f>+K22-[1]Julio!D21</f>
        <v>-82891000</v>
      </c>
    </row>
    <row r="23" spans="1:14" s="4" customFormat="1" ht="31.5" x14ac:dyDescent="0.25">
      <c r="A23" s="111">
        <v>10152</v>
      </c>
      <c r="B23" s="109">
        <v>20</v>
      </c>
      <c r="C23" s="109" t="s">
        <v>13</v>
      </c>
      <c r="D23" s="16">
        <v>491927210</v>
      </c>
      <c r="E23" s="16">
        <v>0</v>
      </c>
      <c r="F23" s="16">
        <v>0</v>
      </c>
      <c r="G23" s="16">
        <v>0</v>
      </c>
      <c r="H23" s="16">
        <f>74583000+16954000</f>
        <v>91537000</v>
      </c>
      <c r="I23" s="16">
        <v>42186000</v>
      </c>
      <c r="J23" s="16">
        <f t="shared" si="1"/>
        <v>49351000</v>
      </c>
      <c r="K23" s="16">
        <f t="shared" si="7"/>
        <v>541278210</v>
      </c>
      <c r="L23" s="16">
        <v>533751152</v>
      </c>
      <c r="M23" s="110">
        <f t="shared" si="3"/>
        <v>0.98609392016722786</v>
      </c>
      <c r="N23" s="145">
        <f>+K23-[1]Julio!D22</f>
        <v>-25232000</v>
      </c>
    </row>
    <row r="24" spans="1:14" s="4" customFormat="1" ht="31.5" x14ac:dyDescent="0.25">
      <c r="A24" s="111">
        <v>10155</v>
      </c>
      <c r="B24" s="109">
        <v>20</v>
      </c>
      <c r="C24" s="109" t="s">
        <v>14</v>
      </c>
      <c r="D24" s="16">
        <v>98983319</v>
      </c>
      <c r="E24" s="16">
        <v>0</v>
      </c>
      <c r="F24" s="16">
        <v>0</v>
      </c>
      <c r="G24" s="16">
        <v>0</v>
      </c>
      <c r="H24" s="16">
        <v>25083000</v>
      </c>
      <c r="I24" s="16">
        <v>10479000</v>
      </c>
      <c r="J24" s="16">
        <f t="shared" si="1"/>
        <v>14604000</v>
      </c>
      <c r="K24" s="16">
        <f t="shared" si="7"/>
        <v>113587319</v>
      </c>
      <c r="L24" s="16">
        <v>83834233</v>
      </c>
      <c r="M24" s="110">
        <f t="shared" si="3"/>
        <v>0.73805979169206382</v>
      </c>
      <c r="N24" s="145">
        <f>+K24-[1]Julio!D23</f>
        <v>14604000</v>
      </c>
    </row>
    <row r="25" spans="1:14" s="4" customFormat="1" ht="24.95" customHeight="1" x14ac:dyDescent="0.25">
      <c r="A25" s="111">
        <v>101512</v>
      </c>
      <c r="B25" s="109">
        <v>20</v>
      </c>
      <c r="C25" s="109" t="s">
        <v>15</v>
      </c>
      <c r="D25" s="16">
        <v>769600</v>
      </c>
      <c r="E25" s="16">
        <v>0</v>
      </c>
      <c r="F25" s="16">
        <v>0</v>
      </c>
      <c r="G25" s="16">
        <v>0</v>
      </c>
      <c r="H25" s="16">
        <v>1100000</v>
      </c>
      <c r="I25" s="16">
        <v>0</v>
      </c>
      <c r="J25" s="16">
        <f t="shared" si="1"/>
        <v>1100000</v>
      </c>
      <c r="K25" s="16">
        <f t="shared" si="7"/>
        <v>1869600</v>
      </c>
      <c r="L25" s="16">
        <v>1672536</v>
      </c>
      <c r="M25" s="110">
        <f t="shared" si="3"/>
        <v>0.8945956354300385</v>
      </c>
      <c r="N25" s="145">
        <f>+K25-[1]Julio!D24</f>
        <v>0</v>
      </c>
    </row>
    <row r="26" spans="1:14" s="4" customFormat="1" ht="24.95" customHeight="1" x14ac:dyDescent="0.25">
      <c r="A26" s="111">
        <v>101514</v>
      </c>
      <c r="B26" s="109">
        <v>20</v>
      </c>
      <c r="C26" s="109" t="s">
        <v>16</v>
      </c>
      <c r="D26" s="16">
        <v>850306451</v>
      </c>
      <c r="E26" s="16">
        <v>0</v>
      </c>
      <c r="F26" s="16">
        <v>0</v>
      </c>
      <c r="G26" s="16">
        <v>0</v>
      </c>
      <c r="H26" s="16">
        <v>2540000</v>
      </c>
      <c r="I26" s="16">
        <f>1100000+62913000</f>
        <v>64013000</v>
      </c>
      <c r="J26" s="16">
        <f t="shared" si="1"/>
        <v>-61473000</v>
      </c>
      <c r="K26" s="16">
        <f t="shared" si="7"/>
        <v>788833451</v>
      </c>
      <c r="L26" s="16">
        <v>775532898</v>
      </c>
      <c r="M26" s="110">
        <f t="shared" si="3"/>
        <v>0.98313895920217509</v>
      </c>
      <c r="N26" s="145">
        <f>+K26-[1]Julio!D25</f>
        <v>-60373000</v>
      </c>
    </row>
    <row r="27" spans="1:14" s="4" customFormat="1" ht="24.95" customHeight="1" x14ac:dyDescent="0.25">
      <c r="A27" s="111">
        <v>101515</v>
      </c>
      <c r="B27" s="109">
        <v>20</v>
      </c>
      <c r="C27" s="109" t="s">
        <v>17</v>
      </c>
      <c r="D27" s="16">
        <v>684037557</v>
      </c>
      <c r="E27" s="16">
        <v>0</v>
      </c>
      <c r="F27" s="16">
        <v>0</v>
      </c>
      <c r="G27" s="16">
        <v>0</v>
      </c>
      <c r="H27" s="16">
        <f>30068000+17709000</f>
        <v>47777000</v>
      </c>
      <c r="I27" s="16">
        <v>0</v>
      </c>
      <c r="J27" s="16">
        <f t="shared" si="1"/>
        <v>47777000</v>
      </c>
      <c r="K27" s="16">
        <f t="shared" si="7"/>
        <v>731814557</v>
      </c>
      <c r="L27" s="16">
        <v>682017718</v>
      </c>
      <c r="M27" s="110">
        <f t="shared" si="3"/>
        <v>0.93195429289608955</v>
      </c>
      <c r="N27" s="145">
        <f>+K27-[1]Julio!D26</f>
        <v>17709000</v>
      </c>
    </row>
    <row r="28" spans="1:14" s="4" customFormat="1" ht="24.95" customHeight="1" x14ac:dyDescent="0.25">
      <c r="A28" s="111">
        <v>101516</v>
      </c>
      <c r="B28" s="109">
        <v>20</v>
      </c>
      <c r="C28" s="109" t="s">
        <v>18</v>
      </c>
      <c r="D28" s="16">
        <v>1724107483</v>
      </c>
      <c r="E28" s="16">
        <v>0</v>
      </c>
      <c r="F28" s="16">
        <v>0</v>
      </c>
      <c r="G28" s="16">
        <v>0</v>
      </c>
      <c r="H28" s="16">
        <f>84510000+37279000</f>
        <v>121789000</v>
      </c>
      <c r="I28" s="16">
        <v>63168000</v>
      </c>
      <c r="J28" s="16">
        <f t="shared" si="1"/>
        <v>58621000</v>
      </c>
      <c r="K28" s="16">
        <f t="shared" si="7"/>
        <v>1782728483</v>
      </c>
      <c r="L28" s="16">
        <v>1739483393</v>
      </c>
      <c r="M28" s="110">
        <f t="shared" si="3"/>
        <v>0.97574218933932855</v>
      </c>
      <c r="N28" s="145">
        <f>+K28-[1]Julio!D27</f>
        <v>-25889000</v>
      </c>
    </row>
    <row r="29" spans="1:14" s="4" customFormat="1" ht="24.95" customHeight="1" x14ac:dyDescent="0.25">
      <c r="A29" s="111">
        <v>101519</v>
      </c>
      <c r="B29" s="109">
        <v>20</v>
      </c>
      <c r="C29" s="109" t="s">
        <v>188</v>
      </c>
      <c r="D29" s="16">
        <v>0</v>
      </c>
      <c r="E29" s="16">
        <v>0</v>
      </c>
      <c r="F29" s="16">
        <v>0</v>
      </c>
      <c r="G29" s="16">
        <v>0</v>
      </c>
      <c r="H29" s="16">
        <v>2672000</v>
      </c>
      <c r="I29" s="16">
        <v>2672000</v>
      </c>
      <c r="J29" s="16">
        <f t="shared" si="1"/>
        <v>0</v>
      </c>
      <c r="K29" s="16">
        <f t="shared" si="7"/>
        <v>0</v>
      </c>
      <c r="L29" s="16">
        <v>0</v>
      </c>
      <c r="M29" s="110" t="s">
        <v>155</v>
      </c>
      <c r="N29" s="145"/>
    </row>
    <row r="30" spans="1:14" s="4" customFormat="1" ht="24.95" customHeight="1" x14ac:dyDescent="0.25">
      <c r="A30" s="111">
        <v>101592</v>
      </c>
      <c r="B30" s="109">
        <v>20</v>
      </c>
      <c r="C30" s="109" t="s">
        <v>19</v>
      </c>
      <c r="D30" s="16">
        <v>56668380</v>
      </c>
      <c r="E30" s="16">
        <v>0</v>
      </c>
      <c r="F30" s="16">
        <v>0</v>
      </c>
      <c r="G30" s="16">
        <v>0</v>
      </c>
      <c r="H30" s="16">
        <v>0</v>
      </c>
      <c r="I30" s="16">
        <v>1038000</v>
      </c>
      <c r="J30" s="16">
        <f t="shared" si="1"/>
        <v>-1038000</v>
      </c>
      <c r="K30" s="16">
        <f t="shared" si="7"/>
        <v>55630380</v>
      </c>
      <c r="L30" s="16">
        <v>55514474</v>
      </c>
      <c r="M30" s="110">
        <f t="shared" si="3"/>
        <v>0.99791649814364025</v>
      </c>
      <c r="N30" s="145">
        <f>+K30-[1]Julio!D29</f>
        <v>-1038000</v>
      </c>
    </row>
    <row r="31" spans="1:14" s="4" customFormat="1" ht="31.5" x14ac:dyDescent="0.25">
      <c r="A31" s="111">
        <v>10108</v>
      </c>
      <c r="B31" s="108">
        <v>20</v>
      </c>
      <c r="C31" s="109" t="s">
        <v>23</v>
      </c>
      <c r="D31" s="16">
        <v>1141311000</v>
      </c>
      <c r="E31" s="16">
        <v>0</v>
      </c>
      <c r="F31" s="16">
        <v>0</v>
      </c>
      <c r="G31" s="16">
        <v>0</v>
      </c>
      <c r="H31" s="16">
        <v>0</v>
      </c>
      <c r="I31" s="16">
        <v>1141311000</v>
      </c>
      <c r="J31" s="16">
        <f t="shared" si="1"/>
        <v>-1141311000</v>
      </c>
      <c r="K31" s="16">
        <f t="shared" si="7"/>
        <v>0</v>
      </c>
      <c r="L31" s="16">
        <v>0</v>
      </c>
      <c r="M31" s="110" t="s">
        <v>155</v>
      </c>
      <c r="N31" s="145"/>
    </row>
    <row r="32" spans="1:14" s="4" customFormat="1" ht="31.5" x14ac:dyDescent="0.25">
      <c r="A32" s="111">
        <v>1019</v>
      </c>
      <c r="B32" s="108"/>
      <c r="C32" s="109" t="s">
        <v>20</v>
      </c>
      <c r="D32" s="16">
        <f>+D33+D34</f>
        <v>195000000</v>
      </c>
      <c r="E32" s="16">
        <f t="shared" ref="E32:I32" si="10">+E33+E34</f>
        <v>0</v>
      </c>
      <c r="F32" s="16">
        <f t="shared" si="10"/>
        <v>0</v>
      </c>
      <c r="G32" s="16">
        <f t="shared" si="10"/>
        <v>0</v>
      </c>
      <c r="H32" s="16">
        <f t="shared" si="10"/>
        <v>500795000</v>
      </c>
      <c r="I32" s="16">
        <f t="shared" si="10"/>
        <v>0</v>
      </c>
      <c r="J32" s="16">
        <f t="shared" si="1"/>
        <v>500795000</v>
      </c>
      <c r="K32" s="16">
        <f t="shared" si="7"/>
        <v>695795000</v>
      </c>
      <c r="L32" s="16">
        <f t="shared" ref="L32" si="11">+L33+L34</f>
        <v>498674279</v>
      </c>
      <c r="M32" s="110">
        <f t="shared" si="3"/>
        <v>0.71669712918316453</v>
      </c>
      <c r="N32" s="145">
        <f>+K32-[1]Julio!D31</f>
        <v>234193000</v>
      </c>
    </row>
    <row r="33" spans="1:16" s="4" customFormat="1" ht="24.95" customHeight="1" x14ac:dyDescent="0.25">
      <c r="A33" s="111">
        <v>10191</v>
      </c>
      <c r="B33" s="108">
        <v>20</v>
      </c>
      <c r="C33" s="109" t="s">
        <v>21</v>
      </c>
      <c r="D33" s="16">
        <v>110500000</v>
      </c>
      <c r="E33" s="16">
        <v>0</v>
      </c>
      <c r="F33" s="16">
        <v>0</v>
      </c>
      <c r="G33" s="16">
        <v>0</v>
      </c>
      <c r="H33" s="16">
        <v>442000</v>
      </c>
      <c r="I33" s="16">
        <v>0</v>
      </c>
      <c r="J33" s="16">
        <f t="shared" si="1"/>
        <v>442000</v>
      </c>
      <c r="K33" s="16">
        <f t="shared" si="7"/>
        <v>110942000</v>
      </c>
      <c r="L33" s="16">
        <v>110495854</v>
      </c>
      <c r="M33" s="110">
        <f t="shared" si="3"/>
        <v>0.99597856537650309</v>
      </c>
      <c r="N33" s="145">
        <f>+K33-[1]Julio!D32</f>
        <v>0</v>
      </c>
    </row>
    <row r="34" spans="1:16" s="4" customFormat="1" ht="24.95" customHeight="1" x14ac:dyDescent="0.25">
      <c r="A34" s="111">
        <v>10193</v>
      </c>
      <c r="B34" s="108">
        <v>20</v>
      </c>
      <c r="C34" s="109" t="s">
        <v>22</v>
      </c>
      <c r="D34" s="16">
        <v>84500000</v>
      </c>
      <c r="E34" s="16">
        <v>0</v>
      </c>
      <c r="F34" s="16">
        <v>0</v>
      </c>
      <c r="G34" s="16">
        <v>0</v>
      </c>
      <c r="H34" s="16">
        <f>266160000+234193000</f>
        <v>500353000</v>
      </c>
      <c r="I34" s="16">
        <v>0</v>
      </c>
      <c r="J34" s="16">
        <f t="shared" si="1"/>
        <v>500353000</v>
      </c>
      <c r="K34" s="16">
        <f t="shared" si="7"/>
        <v>584853000</v>
      </c>
      <c r="L34" s="16">
        <v>388178425</v>
      </c>
      <c r="M34" s="110">
        <f t="shared" si="3"/>
        <v>0.66371964408150419</v>
      </c>
      <c r="N34" s="145">
        <f>+K34-[1]Julio!D33</f>
        <v>234193000</v>
      </c>
    </row>
    <row r="35" spans="1:16" s="4" customFormat="1" ht="24.95" customHeight="1" x14ac:dyDescent="0.25">
      <c r="A35" s="111">
        <v>102</v>
      </c>
      <c r="B35" s="108"/>
      <c r="C35" s="109" t="s">
        <v>24</v>
      </c>
      <c r="D35" s="16">
        <f>+D36+D37+D38</f>
        <v>6893811123</v>
      </c>
      <c r="E35" s="16">
        <f t="shared" ref="E35:I35" si="12">+E36+E37+E38</f>
        <v>0</v>
      </c>
      <c r="F35" s="16">
        <f t="shared" si="12"/>
        <v>0</v>
      </c>
      <c r="G35" s="16">
        <f t="shared" si="12"/>
        <v>0</v>
      </c>
      <c r="H35" s="16">
        <f t="shared" si="12"/>
        <v>4703278458</v>
      </c>
      <c r="I35" s="16">
        <f t="shared" si="12"/>
        <v>444790774</v>
      </c>
      <c r="J35" s="16">
        <f t="shared" si="1"/>
        <v>4258487684</v>
      </c>
      <c r="K35" s="16">
        <f t="shared" si="7"/>
        <v>11152298807</v>
      </c>
      <c r="L35" s="16">
        <f t="shared" ref="L35" si="13">+L36+L37+L38</f>
        <v>10952789837</v>
      </c>
      <c r="M35" s="110">
        <f t="shared" si="3"/>
        <v>0.98211050712927694</v>
      </c>
      <c r="N35" s="145">
        <f>+K35-[1]Julio!D34</f>
        <v>2114372868</v>
      </c>
    </row>
    <row r="36" spans="1:16" s="4" customFormat="1" ht="24.95" customHeight="1" x14ac:dyDescent="0.25">
      <c r="A36" s="111">
        <v>10212</v>
      </c>
      <c r="B36" s="108">
        <v>20</v>
      </c>
      <c r="C36" s="109" t="s">
        <v>25</v>
      </c>
      <c r="D36" s="16">
        <v>170680000</v>
      </c>
      <c r="E36" s="16">
        <v>0</v>
      </c>
      <c r="F36" s="16">
        <v>0</v>
      </c>
      <c r="G36" s="16">
        <v>0</v>
      </c>
      <c r="H36" s="16">
        <f>16900000+258089431+123800000</f>
        <v>398789431</v>
      </c>
      <c r="I36" s="16">
        <v>304090774</v>
      </c>
      <c r="J36" s="16">
        <f t="shared" si="1"/>
        <v>94698657</v>
      </c>
      <c r="K36" s="16">
        <f t="shared" si="7"/>
        <v>265378657</v>
      </c>
      <c r="L36" s="16">
        <v>164495837</v>
      </c>
      <c r="M36" s="110">
        <f t="shared" si="3"/>
        <v>0.619853302671586</v>
      </c>
      <c r="N36" s="145">
        <f>+K36-[1]Julio!D35</f>
        <v>-180290774</v>
      </c>
    </row>
    <row r="37" spans="1:16" s="4" customFormat="1" ht="24.95" customHeight="1" x14ac:dyDescent="0.25">
      <c r="A37" s="111">
        <v>10214</v>
      </c>
      <c r="B37" s="108">
        <v>20</v>
      </c>
      <c r="C37" s="109" t="s">
        <v>26</v>
      </c>
      <c r="D37" s="16">
        <v>6723131123</v>
      </c>
      <c r="E37" s="16">
        <v>0</v>
      </c>
      <c r="F37" s="16">
        <v>0</v>
      </c>
      <c r="G37" s="16">
        <v>0</v>
      </c>
      <c r="H37" s="16">
        <f>1886025385+304090774+2114372868</f>
        <v>4304489027</v>
      </c>
      <c r="I37" s="16">
        <f>16900000+123800000</f>
        <v>140700000</v>
      </c>
      <c r="J37" s="16">
        <f t="shared" si="1"/>
        <v>4163789027</v>
      </c>
      <c r="K37" s="16">
        <f t="shared" si="7"/>
        <v>10886920150</v>
      </c>
      <c r="L37" s="16">
        <v>10788294000</v>
      </c>
      <c r="M37" s="110">
        <f t="shared" si="3"/>
        <v>0.99094085851268043</v>
      </c>
      <c r="N37" s="145">
        <f>+K37-[1]Julio!D36</f>
        <v>2294663642</v>
      </c>
      <c r="P37" s="146">
        <f>+M37-5329252337</f>
        <v>-5329252336.009059</v>
      </c>
    </row>
    <row r="38" spans="1:16" s="4" customFormat="1" ht="24.95" customHeight="1" x14ac:dyDescent="0.25">
      <c r="A38" s="111">
        <v>10214</v>
      </c>
      <c r="B38" s="108">
        <v>21</v>
      </c>
      <c r="C38" s="109" t="s">
        <v>26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f t="shared" si="1"/>
        <v>0</v>
      </c>
      <c r="K38" s="16">
        <f t="shared" si="7"/>
        <v>0</v>
      </c>
      <c r="L38" s="16">
        <v>0</v>
      </c>
      <c r="M38" s="110" t="s">
        <v>155</v>
      </c>
      <c r="N38" s="145"/>
    </row>
    <row r="39" spans="1:16" s="4" customFormat="1" ht="31.5" customHeight="1" x14ac:dyDescent="0.25">
      <c r="A39" s="111">
        <v>105</v>
      </c>
      <c r="B39" s="108"/>
      <c r="C39" s="109" t="s">
        <v>27</v>
      </c>
      <c r="D39" s="16">
        <f>+D40+D44+D48+D49</f>
        <v>7771800000</v>
      </c>
      <c r="E39" s="16">
        <f t="shared" ref="E39:I39" si="14">+E40+E44+E48+E49</f>
        <v>0</v>
      </c>
      <c r="F39" s="16">
        <f t="shared" si="14"/>
        <v>0</v>
      </c>
      <c r="G39" s="16">
        <f t="shared" si="14"/>
        <v>0</v>
      </c>
      <c r="H39" s="16">
        <f t="shared" si="14"/>
        <v>441693509</v>
      </c>
      <c r="I39" s="16">
        <f t="shared" si="14"/>
        <v>258730509</v>
      </c>
      <c r="J39" s="16">
        <f t="shared" si="1"/>
        <v>182963000</v>
      </c>
      <c r="K39" s="16">
        <f t="shared" si="7"/>
        <v>7954763000</v>
      </c>
      <c r="L39" s="16">
        <f t="shared" ref="L39" si="15">+L40+L44+L48+L49</f>
        <v>7826021428</v>
      </c>
      <c r="M39" s="110">
        <f t="shared" si="3"/>
        <v>0.98381578784936774</v>
      </c>
      <c r="N39" s="145">
        <f>+K39-8124200000</f>
        <v>-169437000</v>
      </c>
    </row>
    <row r="40" spans="1:16" s="4" customFormat="1" ht="31.5" x14ac:dyDescent="0.25">
      <c r="A40" s="111">
        <v>1051</v>
      </c>
      <c r="B40" s="108"/>
      <c r="C40" s="109" t="s">
        <v>28</v>
      </c>
      <c r="D40" s="16">
        <f>+D41+D42+D43</f>
        <v>3816999026</v>
      </c>
      <c r="E40" s="16">
        <f t="shared" ref="E40:I40" si="16">+E41+E42+E43</f>
        <v>0</v>
      </c>
      <c r="F40" s="16">
        <f t="shared" si="16"/>
        <v>0</v>
      </c>
      <c r="G40" s="16">
        <f t="shared" si="16"/>
        <v>0</v>
      </c>
      <c r="H40" s="16">
        <f t="shared" si="16"/>
        <v>434684509</v>
      </c>
      <c r="I40" s="16">
        <f t="shared" si="16"/>
        <v>83801509</v>
      </c>
      <c r="J40" s="16">
        <f t="shared" si="1"/>
        <v>350883000</v>
      </c>
      <c r="K40" s="16">
        <f t="shared" si="7"/>
        <v>4167882026</v>
      </c>
      <c r="L40" s="16">
        <f t="shared" ref="L40" si="17">+L41+L42+L43</f>
        <v>4111030768</v>
      </c>
      <c r="M40" s="110">
        <f t="shared" si="3"/>
        <v>0.98635967677459402</v>
      </c>
      <c r="N40" s="145">
        <f>+K40-[1]Julio!D38</f>
        <v>0</v>
      </c>
    </row>
    <row r="41" spans="1:16" s="4" customFormat="1" ht="15.75" x14ac:dyDescent="0.25">
      <c r="A41" s="111">
        <v>10511</v>
      </c>
      <c r="B41" s="108">
        <v>20</v>
      </c>
      <c r="C41" s="109" t="s">
        <v>29</v>
      </c>
      <c r="D41" s="16">
        <v>888145439</v>
      </c>
      <c r="E41" s="16">
        <v>0</v>
      </c>
      <c r="F41" s="16">
        <v>0</v>
      </c>
      <c r="G41" s="16">
        <v>0</v>
      </c>
      <c r="H41" s="16">
        <v>0</v>
      </c>
      <c r="I41" s="16">
        <v>12256864</v>
      </c>
      <c r="J41" s="16">
        <f t="shared" si="1"/>
        <v>-12256864</v>
      </c>
      <c r="K41" s="16">
        <f t="shared" si="7"/>
        <v>875888575</v>
      </c>
      <c r="L41" s="16">
        <v>819323498</v>
      </c>
      <c r="M41" s="110">
        <f t="shared" si="3"/>
        <v>0.93541977985042224</v>
      </c>
      <c r="N41" s="145">
        <f>+K41-[1]Julio!D39</f>
        <v>-12256864</v>
      </c>
    </row>
    <row r="42" spans="1:16" s="4" customFormat="1" ht="31.5" x14ac:dyDescent="0.25">
      <c r="A42" s="111">
        <v>10513</v>
      </c>
      <c r="B42" s="108">
        <v>20</v>
      </c>
      <c r="C42" s="109" t="s">
        <v>30</v>
      </c>
      <c r="D42" s="16">
        <v>1439029225</v>
      </c>
      <c r="E42" s="16">
        <v>0</v>
      </c>
      <c r="F42" s="16">
        <v>0</v>
      </c>
      <c r="G42" s="16">
        <v>0</v>
      </c>
      <c r="H42" s="16">
        <v>275622000</v>
      </c>
      <c r="I42" s="16">
        <v>71544645</v>
      </c>
      <c r="J42" s="16">
        <f t="shared" si="1"/>
        <v>204077355</v>
      </c>
      <c r="K42" s="16">
        <f t="shared" si="7"/>
        <v>1643106580</v>
      </c>
      <c r="L42" s="16">
        <v>1642820402</v>
      </c>
      <c r="M42" s="110">
        <f t="shared" si="3"/>
        <v>0.99982583113993739</v>
      </c>
      <c r="N42" s="145">
        <f>+K42-[1]Julio!D40</f>
        <v>-71544645</v>
      </c>
    </row>
    <row r="43" spans="1:16" s="4" customFormat="1" ht="31.5" x14ac:dyDescent="0.25">
      <c r="A43" s="111">
        <v>10514</v>
      </c>
      <c r="B43" s="108">
        <v>20</v>
      </c>
      <c r="C43" s="109" t="s">
        <v>31</v>
      </c>
      <c r="D43" s="16">
        <v>1489824362</v>
      </c>
      <c r="E43" s="16">
        <v>0</v>
      </c>
      <c r="F43" s="16">
        <v>0</v>
      </c>
      <c r="G43" s="16">
        <v>0</v>
      </c>
      <c r="H43" s="16">
        <f>75261000+83801509</f>
        <v>159062509</v>
      </c>
      <c r="I43" s="16">
        <v>0</v>
      </c>
      <c r="J43" s="16">
        <f t="shared" si="1"/>
        <v>159062509</v>
      </c>
      <c r="K43" s="16">
        <f t="shared" si="7"/>
        <v>1648886871</v>
      </c>
      <c r="L43" s="16">
        <v>1648886868</v>
      </c>
      <c r="M43" s="110">
        <f t="shared" si="3"/>
        <v>0.99999999818059071</v>
      </c>
      <c r="N43" s="145">
        <f>+K43-[1]Julio!D41</f>
        <v>83801509</v>
      </c>
    </row>
    <row r="44" spans="1:16" s="4" customFormat="1" ht="31.5" x14ac:dyDescent="0.25">
      <c r="A44" s="111">
        <v>1052</v>
      </c>
      <c r="B44" s="108"/>
      <c r="C44" s="109" t="s">
        <v>32</v>
      </c>
      <c r="D44" s="16">
        <f>+D45+D46+D47</f>
        <v>2878115597</v>
      </c>
      <c r="E44" s="16">
        <f t="shared" ref="E44:I44" si="18">+E45+E46+E47</f>
        <v>0</v>
      </c>
      <c r="F44" s="16">
        <f t="shared" si="18"/>
        <v>0</v>
      </c>
      <c r="G44" s="16">
        <f t="shared" si="18"/>
        <v>0</v>
      </c>
      <c r="H44" s="16">
        <f t="shared" si="18"/>
        <v>0</v>
      </c>
      <c r="I44" s="16">
        <f t="shared" si="18"/>
        <v>133175000</v>
      </c>
      <c r="J44" s="16">
        <f t="shared" si="1"/>
        <v>-133175000</v>
      </c>
      <c r="K44" s="16">
        <f t="shared" si="7"/>
        <v>2744940597</v>
      </c>
      <c r="L44" s="16">
        <f t="shared" ref="L44" si="19">+L45+L46+L47</f>
        <v>2690847699</v>
      </c>
      <c r="M44" s="110">
        <f t="shared" si="3"/>
        <v>0.98029359977439245</v>
      </c>
      <c r="N44" s="145">
        <f>+K44-[1]Julio!D42</f>
        <v>-133175000</v>
      </c>
    </row>
    <row r="45" spans="1:16" s="4" customFormat="1" ht="15.75" x14ac:dyDescent="0.25">
      <c r="A45" s="111">
        <v>10522</v>
      </c>
      <c r="B45" s="108">
        <v>20</v>
      </c>
      <c r="C45" s="109" t="s">
        <v>33</v>
      </c>
      <c r="D45" s="16">
        <v>2004076531</v>
      </c>
      <c r="E45" s="16"/>
      <c r="F45" s="16">
        <v>0</v>
      </c>
      <c r="G45" s="16">
        <v>0</v>
      </c>
      <c r="H45" s="16">
        <v>0</v>
      </c>
      <c r="I45" s="16">
        <v>29537000</v>
      </c>
      <c r="J45" s="16">
        <f t="shared" si="1"/>
        <v>-29537000</v>
      </c>
      <c r="K45" s="16">
        <f t="shared" si="7"/>
        <v>1974539531</v>
      </c>
      <c r="L45" s="16">
        <v>1922278366</v>
      </c>
      <c r="M45" s="110">
        <f t="shared" si="3"/>
        <v>0.97353247976072044</v>
      </c>
      <c r="N45" s="145">
        <f>+K45-[1]Julio!D43</f>
        <v>-29537000</v>
      </c>
    </row>
    <row r="46" spans="1:16" s="4" customFormat="1" ht="31.5" x14ac:dyDescent="0.25">
      <c r="A46" s="111">
        <v>10523</v>
      </c>
      <c r="B46" s="108">
        <v>20</v>
      </c>
      <c r="C46" s="109" t="s">
        <v>34</v>
      </c>
      <c r="D46" s="16">
        <v>767193406</v>
      </c>
      <c r="E46" s="16"/>
      <c r="F46" s="16">
        <v>0</v>
      </c>
      <c r="G46" s="16">
        <v>0</v>
      </c>
      <c r="H46" s="16">
        <v>0</v>
      </c>
      <c r="I46" s="16">
        <v>97336000</v>
      </c>
      <c r="J46" s="16">
        <f t="shared" si="1"/>
        <v>-97336000</v>
      </c>
      <c r="K46" s="16">
        <f t="shared" si="7"/>
        <v>669857406</v>
      </c>
      <c r="L46" s="16">
        <v>669546516</v>
      </c>
      <c r="M46" s="110">
        <f t="shared" si="3"/>
        <v>0.99953588629876255</v>
      </c>
      <c r="N46" s="145">
        <f>+K46-[1]Julio!D44</f>
        <v>-97336000</v>
      </c>
    </row>
    <row r="47" spans="1:16" s="4" customFormat="1" ht="63" x14ac:dyDescent="0.25">
      <c r="A47" s="111">
        <v>10527</v>
      </c>
      <c r="B47" s="108">
        <v>20</v>
      </c>
      <c r="C47" s="109" t="s">
        <v>35</v>
      </c>
      <c r="D47" s="16">
        <v>106845660</v>
      </c>
      <c r="E47" s="16"/>
      <c r="F47" s="16">
        <v>0</v>
      </c>
      <c r="G47" s="16">
        <v>0</v>
      </c>
      <c r="H47" s="16">
        <v>0</v>
      </c>
      <c r="I47" s="16">
        <v>6302000</v>
      </c>
      <c r="J47" s="16">
        <f t="shared" si="1"/>
        <v>-6302000</v>
      </c>
      <c r="K47" s="16">
        <f t="shared" si="7"/>
        <v>100543660</v>
      </c>
      <c r="L47" s="16">
        <v>99022817</v>
      </c>
      <c r="M47" s="110">
        <f t="shared" si="3"/>
        <v>0.98487380507134914</v>
      </c>
      <c r="N47" s="145">
        <f>+K47-[1]Julio!D45</f>
        <v>-6302000</v>
      </c>
    </row>
    <row r="48" spans="1:16" s="4" customFormat="1" ht="24.95" customHeight="1" x14ac:dyDescent="0.25">
      <c r="A48" s="111">
        <v>1056</v>
      </c>
      <c r="B48" s="108">
        <v>20</v>
      </c>
      <c r="C48" s="109" t="s">
        <v>36</v>
      </c>
      <c r="D48" s="16">
        <v>632612675</v>
      </c>
      <c r="E48" s="16">
        <v>0</v>
      </c>
      <c r="F48" s="16">
        <v>0</v>
      </c>
      <c r="G48" s="16">
        <v>0</v>
      </c>
      <c r="H48" s="16">
        <v>7009000</v>
      </c>
      <c r="I48" s="16">
        <v>14499000</v>
      </c>
      <c r="J48" s="16">
        <f t="shared" si="1"/>
        <v>-7490000</v>
      </c>
      <c r="K48" s="16">
        <f t="shared" si="7"/>
        <v>625122675</v>
      </c>
      <c r="L48" s="16">
        <v>614504175</v>
      </c>
      <c r="M48" s="110">
        <f t="shared" si="3"/>
        <v>0.98301373406427783</v>
      </c>
      <c r="N48" s="145">
        <f>+K48-[1]Julio!D46</f>
        <v>-14499000</v>
      </c>
    </row>
    <row r="49" spans="1:51" s="4" customFormat="1" ht="24.95" customHeight="1" x14ac:dyDescent="0.25">
      <c r="A49" s="111">
        <v>1057</v>
      </c>
      <c r="B49" s="108">
        <v>20</v>
      </c>
      <c r="C49" s="109" t="s">
        <v>37</v>
      </c>
      <c r="D49" s="16">
        <v>444072702</v>
      </c>
      <c r="E49" s="16">
        <v>0</v>
      </c>
      <c r="F49" s="16">
        <v>0</v>
      </c>
      <c r="G49" s="16">
        <v>0</v>
      </c>
      <c r="H49" s="16">
        <v>0</v>
      </c>
      <c r="I49" s="16">
        <v>27255000</v>
      </c>
      <c r="J49" s="16">
        <f t="shared" si="1"/>
        <v>-27255000</v>
      </c>
      <c r="K49" s="16">
        <f t="shared" si="7"/>
        <v>416817702</v>
      </c>
      <c r="L49" s="16">
        <v>409638786</v>
      </c>
      <c r="M49" s="110">
        <f t="shared" si="3"/>
        <v>0.98277684473199267</v>
      </c>
      <c r="N49" s="145">
        <f>+K49-[1]Julio!D47</f>
        <v>-27255000</v>
      </c>
    </row>
    <row r="50" spans="1:51" s="4" customFormat="1" ht="24.95" customHeight="1" x14ac:dyDescent="0.25">
      <c r="A50" s="111">
        <v>2</v>
      </c>
      <c r="B50" s="108"/>
      <c r="C50" s="109" t="s">
        <v>38</v>
      </c>
      <c r="D50" s="16">
        <f>+D51</f>
        <v>9437000000</v>
      </c>
      <c r="E50" s="16">
        <f t="shared" ref="E50:I50" si="20">+E51</f>
        <v>0</v>
      </c>
      <c r="F50" s="16">
        <f t="shared" si="20"/>
        <v>0</v>
      </c>
      <c r="G50" s="16">
        <f t="shared" si="20"/>
        <v>0</v>
      </c>
      <c r="H50" s="16">
        <f t="shared" si="20"/>
        <v>1774817372</v>
      </c>
      <c r="I50" s="16">
        <f t="shared" si="20"/>
        <v>1774817372</v>
      </c>
      <c r="J50" s="16">
        <f t="shared" si="1"/>
        <v>0</v>
      </c>
      <c r="K50" s="16">
        <f t="shared" si="7"/>
        <v>9437000000</v>
      </c>
      <c r="L50" s="16">
        <f>+L51</f>
        <v>9293950436.4300003</v>
      </c>
      <c r="M50" s="110">
        <f t="shared" si="3"/>
        <v>0.98484162725760305</v>
      </c>
      <c r="N50" s="145">
        <f>+K50-[1]Julio!D57</f>
        <v>0</v>
      </c>
      <c r="AY50" s="146"/>
    </row>
    <row r="51" spans="1:51" s="4" customFormat="1" ht="24.95" customHeight="1" x14ac:dyDescent="0.25">
      <c r="A51" s="111">
        <v>20</v>
      </c>
      <c r="B51" s="108"/>
      <c r="C51" s="109" t="s">
        <v>38</v>
      </c>
      <c r="D51" s="16">
        <f>+D52+D56</f>
        <v>9437000000</v>
      </c>
      <c r="E51" s="16">
        <f t="shared" ref="E51:I51" si="21">+E52+E56</f>
        <v>0</v>
      </c>
      <c r="F51" s="16">
        <f t="shared" si="21"/>
        <v>0</v>
      </c>
      <c r="G51" s="16">
        <f t="shared" si="21"/>
        <v>0</v>
      </c>
      <c r="H51" s="16">
        <f t="shared" si="21"/>
        <v>1774817372</v>
      </c>
      <c r="I51" s="16">
        <f t="shared" si="21"/>
        <v>1774817372</v>
      </c>
      <c r="J51" s="16">
        <f t="shared" si="1"/>
        <v>0</v>
      </c>
      <c r="K51" s="16">
        <f>D51+J51</f>
        <v>9437000000</v>
      </c>
      <c r="L51" s="16">
        <f>+L52+L56</f>
        <v>9293950436.4300003</v>
      </c>
      <c r="M51" s="110">
        <f t="shared" si="3"/>
        <v>0.98484162725760305</v>
      </c>
      <c r="N51" s="145">
        <f>+K51-[1]Julio!D58</f>
        <v>0</v>
      </c>
    </row>
    <row r="52" spans="1:51" s="4" customFormat="1" ht="24.95" customHeight="1" x14ac:dyDescent="0.25">
      <c r="A52" s="111">
        <v>203</v>
      </c>
      <c r="B52" s="108"/>
      <c r="C52" s="109" t="s">
        <v>39</v>
      </c>
      <c r="D52" s="16">
        <f>+D53</f>
        <v>17900000</v>
      </c>
      <c r="E52" s="16">
        <f t="shared" ref="E52:I52" si="22">+E53</f>
        <v>0</v>
      </c>
      <c r="F52" s="16">
        <f t="shared" si="22"/>
        <v>0</v>
      </c>
      <c r="G52" s="16">
        <f t="shared" si="22"/>
        <v>0</v>
      </c>
      <c r="H52" s="16">
        <f t="shared" si="22"/>
        <v>0</v>
      </c>
      <c r="I52" s="16">
        <f t="shared" si="22"/>
        <v>17817672</v>
      </c>
      <c r="J52" s="16">
        <f t="shared" si="1"/>
        <v>-17817672</v>
      </c>
      <c r="K52" s="16">
        <f>D52+J52</f>
        <v>82328</v>
      </c>
      <c r="L52" s="16">
        <f t="shared" ref="L52" si="23">+L53</f>
        <v>82328</v>
      </c>
      <c r="M52" s="110">
        <f t="shared" si="3"/>
        <v>1</v>
      </c>
      <c r="N52" s="145">
        <f>+K52-[1]Julio!D59</f>
        <v>-17817672</v>
      </c>
    </row>
    <row r="53" spans="1:51" s="4" customFormat="1" ht="24.95" customHeight="1" x14ac:dyDescent="0.25">
      <c r="A53" s="111">
        <v>20350</v>
      </c>
      <c r="B53" s="108"/>
      <c r="C53" s="109" t="s">
        <v>40</v>
      </c>
      <c r="D53" s="16">
        <f>+D54+D55</f>
        <v>17900000</v>
      </c>
      <c r="E53" s="16">
        <f t="shared" ref="E53:I53" si="24">+E54+E55</f>
        <v>0</v>
      </c>
      <c r="F53" s="16">
        <f t="shared" si="24"/>
        <v>0</v>
      </c>
      <c r="G53" s="16">
        <f t="shared" si="24"/>
        <v>0</v>
      </c>
      <c r="H53" s="16">
        <f t="shared" si="24"/>
        <v>0</v>
      </c>
      <c r="I53" s="16">
        <f t="shared" si="24"/>
        <v>17817672</v>
      </c>
      <c r="J53" s="16">
        <f t="shared" si="1"/>
        <v>-17817672</v>
      </c>
      <c r="K53" s="16">
        <f t="shared" si="7"/>
        <v>82328</v>
      </c>
      <c r="L53" s="16">
        <f t="shared" ref="L53" si="25">+L54+L55</f>
        <v>82328</v>
      </c>
      <c r="M53" s="110">
        <f t="shared" si="3"/>
        <v>1</v>
      </c>
      <c r="N53" s="145">
        <f>+K53-[1]Julio!D60</f>
        <v>-17817672</v>
      </c>
    </row>
    <row r="54" spans="1:51" s="4" customFormat="1" ht="24.95" customHeight="1" x14ac:dyDescent="0.25">
      <c r="A54" s="111">
        <v>203502</v>
      </c>
      <c r="B54" s="108">
        <v>20</v>
      </c>
      <c r="C54" s="109" t="s">
        <v>41</v>
      </c>
      <c r="D54" s="16">
        <v>1000000</v>
      </c>
      <c r="E54" s="16">
        <v>0</v>
      </c>
      <c r="F54" s="16">
        <v>0</v>
      </c>
      <c r="G54" s="16">
        <v>0</v>
      </c>
      <c r="H54" s="16">
        <v>0</v>
      </c>
      <c r="I54" s="16">
        <v>917672</v>
      </c>
      <c r="J54" s="16">
        <f t="shared" si="1"/>
        <v>-917672</v>
      </c>
      <c r="K54" s="16">
        <f t="shared" si="7"/>
        <v>82328</v>
      </c>
      <c r="L54" s="16">
        <v>82328</v>
      </c>
      <c r="M54" s="110">
        <f t="shared" si="3"/>
        <v>1</v>
      </c>
      <c r="N54" s="145">
        <f>+K54-[1]Julio!D61</f>
        <v>-917672</v>
      </c>
    </row>
    <row r="55" spans="1:51" s="4" customFormat="1" ht="24.95" customHeight="1" x14ac:dyDescent="0.25">
      <c r="A55" s="111">
        <v>203503</v>
      </c>
      <c r="B55" s="108">
        <v>20</v>
      </c>
      <c r="C55" s="109" t="s">
        <v>42</v>
      </c>
      <c r="D55" s="16">
        <v>16900000</v>
      </c>
      <c r="E55" s="16">
        <v>0</v>
      </c>
      <c r="F55" s="16">
        <v>0</v>
      </c>
      <c r="G55" s="16">
        <v>0</v>
      </c>
      <c r="H55" s="16">
        <v>0</v>
      </c>
      <c r="I55" s="16">
        <v>16900000</v>
      </c>
      <c r="J55" s="16">
        <f t="shared" si="1"/>
        <v>-16900000</v>
      </c>
      <c r="K55" s="16">
        <f t="shared" si="7"/>
        <v>0</v>
      </c>
      <c r="L55" s="16">
        <v>0</v>
      </c>
      <c r="M55" s="110" t="s">
        <v>155</v>
      </c>
      <c r="N55" s="145">
        <f>+K55-[1]Julio!D62</f>
        <v>-16900000</v>
      </c>
    </row>
    <row r="56" spans="1:51" s="4" customFormat="1" ht="24.95" customHeight="1" x14ac:dyDescent="0.25">
      <c r="A56" s="111">
        <v>204</v>
      </c>
      <c r="B56" s="108"/>
      <c r="C56" s="109" t="s">
        <v>43</v>
      </c>
      <c r="D56" s="16">
        <f t="shared" ref="D56:I56" si="26">+D57+D63+D66+D78+D87+D92+D95+D100+D104+D107+D110+D111+D115+D117</f>
        <v>9419100000</v>
      </c>
      <c r="E56" s="16">
        <f t="shared" si="26"/>
        <v>0</v>
      </c>
      <c r="F56" s="16">
        <f t="shared" si="26"/>
        <v>0</v>
      </c>
      <c r="G56" s="16">
        <f t="shared" si="26"/>
        <v>0</v>
      </c>
      <c r="H56" s="16">
        <f t="shared" si="26"/>
        <v>1774817372</v>
      </c>
      <c r="I56" s="16">
        <f t="shared" si="26"/>
        <v>1756999700</v>
      </c>
      <c r="J56" s="16">
        <f t="shared" si="1"/>
        <v>17817672</v>
      </c>
      <c r="K56" s="16">
        <f t="shared" si="7"/>
        <v>9436917672</v>
      </c>
      <c r="L56" s="16">
        <f>+L57+L63+L66+L78+L87+L92+L95+L100+L104+L107+L110+L111+L115+L1168+L117</f>
        <v>9293868108.4300003</v>
      </c>
      <c r="M56" s="110">
        <f t="shared" si="3"/>
        <v>0.98484149501542884</v>
      </c>
      <c r="N56" s="145">
        <f>+K56-[1]Julio!D63</f>
        <v>17817672</v>
      </c>
    </row>
    <row r="57" spans="1:51" s="4" customFormat="1" ht="24.95" customHeight="1" x14ac:dyDescent="0.25">
      <c r="A57" s="111">
        <v>2041</v>
      </c>
      <c r="B57" s="108"/>
      <c r="C57" s="109" t="s">
        <v>131</v>
      </c>
      <c r="D57" s="16">
        <f>SUM(D58:D62)</f>
        <v>350164217</v>
      </c>
      <c r="E57" s="16">
        <f t="shared" ref="E57:I57" si="27">SUM(E58:E62)</f>
        <v>0</v>
      </c>
      <c r="F57" s="16">
        <f t="shared" si="27"/>
        <v>0</v>
      </c>
      <c r="G57" s="16">
        <f t="shared" si="27"/>
        <v>0</v>
      </c>
      <c r="H57" s="16">
        <f t="shared" si="27"/>
        <v>442852000</v>
      </c>
      <c r="I57" s="16">
        <f t="shared" si="27"/>
        <v>274000000</v>
      </c>
      <c r="J57" s="16">
        <f t="shared" si="1"/>
        <v>168852000</v>
      </c>
      <c r="K57" s="16">
        <f t="shared" si="7"/>
        <v>519016217</v>
      </c>
      <c r="L57" s="16">
        <f t="shared" ref="L57" si="28">SUM(L58:L62)</f>
        <v>515898898</v>
      </c>
      <c r="M57" s="110">
        <f t="shared" si="3"/>
        <v>0.99399379268336041</v>
      </c>
      <c r="N57" s="145"/>
    </row>
    <row r="58" spans="1:51" s="4" customFormat="1" ht="24.95" customHeight="1" x14ac:dyDescent="0.25">
      <c r="A58" s="111">
        <v>20414</v>
      </c>
      <c r="B58" s="108">
        <v>20</v>
      </c>
      <c r="C58" s="109" t="s">
        <v>132</v>
      </c>
      <c r="D58" s="16">
        <v>15126168</v>
      </c>
      <c r="E58" s="16">
        <v>0</v>
      </c>
      <c r="F58" s="16">
        <v>0</v>
      </c>
      <c r="G58" s="16">
        <v>0</v>
      </c>
      <c r="H58" s="16">
        <v>0</v>
      </c>
      <c r="I58" s="16">
        <v>3000000</v>
      </c>
      <c r="J58" s="16">
        <f t="shared" si="1"/>
        <v>-3000000</v>
      </c>
      <c r="K58" s="16">
        <f t="shared" si="7"/>
        <v>12126168</v>
      </c>
      <c r="L58" s="16">
        <v>11836235</v>
      </c>
      <c r="M58" s="110">
        <f t="shared" si="3"/>
        <v>0.976090303218626</v>
      </c>
      <c r="N58" s="145"/>
    </row>
    <row r="59" spans="1:51" s="4" customFormat="1" ht="24.95" customHeight="1" x14ac:dyDescent="0.25">
      <c r="A59" s="111">
        <v>20416</v>
      </c>
      <c r="B59" s="108">
        <v>20</v>
      </c>
      <c r="C59" s="109" t="s">
        <v>133</v>
      </c>
      <c r="D59" s="16">
        <v>37664277</v>
      </c>
      <c r="E59" s="16">
        <v>0</v>
      </c>
      <c r="F59" s="16">
        <v>0</v>
      </c>
      <c r="G59" s="16">
        <v>0</v>
      </c>
      <c r="H59" s="16">
        <v>25000000</v>
      </c>
      <c r="I59" s="16">
        <f>30000000+6000000+2000000</f>
        <v>38000000</v>
      </c>
      <c r="J59" s="16">
        <f t="shared" si="1"/>
        <v>-13000000</v>
      </c>
      <c r="K59" s="16">
        <f t="shared" si="7"/>
        <v>24664277</v>
      </c>
      <c r="L59" s="16">
        <v>23149211</v>
      </c>
      <c r="M59" s="110">
        <f t="shared" si="3"/>
        <v>0.93857245440440029</v>
      </c>
      <c r="N59" s="145"/>
    </row>
    <row r="60" spans="1:51" s="4" customFormat="1" ht="24.95" customHeight="1" x14ac:dyDescent="0.25">
      <c r="A60" s="111">
        <v>20418</v>
      </c>
      <c r="B60" s="108">
        <v>20</v>
      </c>
      <c r="C60" s="109" t="s">
        <v>134</v>
      </c>
      <c r="D60" s="16">
        <v>81114972</v>
      </c>
      <c r="E60" s="16">
        <v>0</v>
      </c>
      <c r="F60" s="16">
        <v>0</v>
      </c>
      <c r="G60" s="16">
        <v>0</v>
      </c>
      <c r="H60" s="16">
        <f>20000000+1000000</f>
        <v>21000000</v>
      </c>
      <c r="I60" s="16">
        <f>18000000+4000000</f>
        <v>22000000</v>
      </c>
      <c r="J60" s="16">
        <f t="shared" si="1"/>
        <v>-1000000</v>
      </c>
      <c r="K60" s="16">
        <f t="shared" si="7"/>
        <v>80114972</v>
      </c>
      <c r="L60" s="16">
        <v>80093861</v>
      </c>
      <c r="M60" s="110">
        <f t="shared" si="3"/>
        <v>0.99973649120166952</v>
      </c>
      <c r="N60" s="145"/>
    </row>
    <row r="61" spans="1:51" s="4" customFormat="1" ht="24.95" customHeight="1" x14ac:dyDescent="0.25">
      <c r="A61" s="111">
        <v>204116</v>
      </c>
      <c r="B61" s="108">
        <v>20</v>
      </c>
      <c r="C61" s="109" t="s">
        <v>163</v>
      </c>
      <c r="D61" s="16">
        <v>207895200</v>
      </c>
      <c r="E61" s="16">
        <v>0</v>
      </c>
      <c r="F61" s="16">
        <v>0</v>
      </c>
      <c r="G61" s="16">
        <v>0</v>
      </c>
      <c r="H61" s="16">
        <f>22900000+238952000+135000000</f>
        <v>396852000</v>
      </c>
      <c r="I61" s="16">
        <f>200000000+3000000</f>
        <v>203000000</v>
      </c>
      <c r="J61" s="16">
        <f t="shared" si="1"/>
        <v>193852000</v>
      </c>
      <c r="K61" s="16">
        <f t="shared" si="7"/>
        <v>401747200</v>
      </c>
      <c r="L61" s="16">
        <v>400819591</v>
      </c>
      <c r="M61" s="110">
        <f t="shared" si="3"/>
        <v>0.99769106293709076</v>
      </c>
      <c r="N61" s="145"/>
    </row>
    <row r="62" spans="1:51" s="4" customFormat="1" ht="24.95" customHeight="1" x14ac:dyDescent="0.25">
      <c r="A62" s="111">
        <v>204125</v>
      </c>
      <c r="B62" s="108">
        <v>20</v>
      </c>
      <c r="C62" s="109" t="s">
        <v>154</v>
      </c>
      <c r="D62" s="16">
        <v>8363600</v>
      </c>
      <c r="E62" s="16">
        <v>0</v>
      </c>
      <c r="F62" s="16">
        <v>0</v>
      </c>
      <c r="G62" s="16">
        <v>0</v>
      </c>
      <c r="H62" s="16">
        <v>0</v>
      </c>
      <c r="I62" s="16">
        <f>3000000+5000000</f>
        <v>8000000</v>
      </c>
      <c r="J62" s="16">
        <f t="shared" si="1"/>
        <v>-8000000</v>
      </c>
      <c r="K62" s="16">
        <f t="shared" si="7"/>
        <v>363600</v>
      </c>
      <c r="L62" s="16">
        <v>0</v>
      </c>
      <c r="M62" s="110">
        <f t="shared" si="3"/>
        <v>0</v>
      </c>
      <c r="N62" s="145"/>
    </row>
    <row r="63" spans="1:51" s="4" customFormat="1" ht="24.95" customHeight="1" x14ac:dyDescent="0.25">
      <c r="A63" s="111">
        <v>2042</v>
      </c>
      <c r="B63" s="108"/>
      <c r="C63" s="109" t="s">
        <v>135</v>
      </c>
      <c r="D63" s="16">
        <f>+D64+D65</f>
        <v>50241340</v>
      </c>
      <c r="E63" s="16">
        <f t="shared" ref="E63:I63" si="29">+E64+E65</f>
        <v>0</v>
      </c>
      <c r="F63" s="16">
        <f t="shared" si="29"/>
        <v>0</v>
      </c>
      <c r="G63" s="16">
        <f t="shared" si="29"/>
        <v>0</v>
      </c>
      <c r="H63" s="16">
        <f t="shared" si="29"/>
        <v>0</v>
      </c>
      <c r="I63" s="16">
        <f t="shared" si="29"/>
        <v>11100000</v>
      </c>
      <c r="J63" s="16">
        <f t="shared" si="1"/>
        <v>-11100000</v>
      </c>
      <c r="K63" s="16">
        <f t="shared" si="7"/>
        <v>39141340</v>
      </c>
      <c r="L63" s="16">
        <f t="shared" ref="L63" si="30">+L64+L65</f>
        <v>39034594.369999997</v>
      </c>
      <c r="M63" s="110">
        <f t="shared" si="3"/>
        <v>0.99727281615805685</v>
      </c>
      <c r="N63" s="145"/>
    </row>
    <row r="64" spans="1:51" s="4" customFormat="1" ht="24.95" customHeight="1" x14ac:dyDescent="0.25">
      <c r="A64" s="111">
        <v>20421</v>
      </c>
      <c r="B64" s="108">
        <v>20</v>
      </c>
      <c r="C64" s="109" t="s">
        <v>136</v>
      </c>
      <c r="D64" s="16">
        <v>5974000</v>
      </c>
      <c r="E64" s="16">
        <v>0</v>
      </c>
      <c r="F64" s="16">
        <v>0</v>
      </c>
      <c r="G64" s="16">
        <v>0</v>
      </c>
      <c r="H64" s="16">
        <v>0</v>
      </c>
      <c r="I64" s="16">
        <v>5900000</v>
      </c>
      <c r="J64" s="16">
        <f t="shared" si="1"/>
        <v>-5900000</v>
      </c>
      <c r="K64" s="16">
        <f t="shared" si="7"/>
        <v>74000</v>
      </c>
      <c r="L64" s="16">
        <v>0</v>
      </c>
      <c r="M64" s="110">
        <f t="shared" si="3"/>
        <v>0</v>
      </c>
      <c r="N64" s="145"/>
    </row>
    <row r="65" spans="1:14" s="4" customFormat="1" ht="24.95" customHeight="1" x14ac:dyDescent="0.25">
      <c r="A65" s="111">
        <v>20422</v>
      </c>
      <c r="B65" s="108">
        <v>20</v>
      </c>
      <c r="C65" s="109" t="s">
        <v>137</v>
      </c>
      <c r="D65" s="16">
        <v>44267340</v>
      </c>
      <c r="E65" s="16">
        <v>0</v>
      </c>
      <c r="F65" s="16">
        <v>0</v>
      </c>
      <c r="G65" s="16">
        <v>0</v>
      </c>
      <c r="H65" s="16">
        <v>0</v>
      </c>
      <c r="I65" s="16">
        <v>5200000</v>
      </c>
      <c r="J65" s="16">
        <f t="shared" si="1"/>
        <v>-5200000</v>
      </c>
      <c r="K65" s="16">
        <f t="shared" si="7"/>
        <v>39067340</v>
      </c>
      <c r="L65" s="16">
        <v>39034594.369999997</v>
      </c>
      <c r="M65" s="110">
        <f t="shared" si="3"/>
        <v>0.99916181572638418</v>
      </c>
      <c r="N65" s="145"/>
    </row>
    <row r="66" spans="1:14" s="4" customFormat="1" ht="24.95" customHeight="1" x14ac:dyDescent="0.25">
      <c r="A66" s="111">
        <v>2044</v>
      </c>
      <c r="B66" s="108"/>
      <c r="C66" s="109" t="s">
        <v>44</v>
      </c>
      <c r="D66" s="16">
        <f>SUM(D67:D77)</f>
        <v>220391787</v>
      </c>
      <c r="E66" s="16">
        <f t="shared" ref="E66:I66" si="31">SUM(E67:E77)</f>
        <v>0</v>
      </c>
      <c r="F66" s="16">
        <f t="shared" si="31"/>
        <v>0</v>
      </c>
      <c r="G66" s="16">
        <f t="shared" si="31"/>
        <v>0</v>
      </c>
      <c r="H66" s="16">
        <f t="shared" si="31"/>
        <v>21000000</v>
      </c>
      <c r="I66" s="16">
        <f t="shared" si="31"/>
        <v>59500000</v>
      </c>
      <c r="J66" s="16">
        <f t="shared" si="1"/>
        <v>-38500000</v>
      </c>
      <c r="K66" s="16">
        <f t="shared" si="7"/>
        <v>181891787</v>
      </c>
      <c r="L66" s="16">
        <f t="shared" ref="L66" si="32">SUM(L67:L77)</f>
        <v>170761653</v>
      </c>
      <c r="M66" s="110">
        <f t="shared" si="3"/>
        <v>0.93880903484663658</v>
      </c>
      <c r="N66" s="145">
        <f>+K66-[1]Julio!D73</f>
        <v>-43500000</v>
      </c>
    </row>
    <row r="67" spans="1:14" s="4" customFormat="1" ht="24.95" customHeight="1" x14ac:dyDescent="0.25">
      <c r="A67" s="111">
        <v>20441</v>
      </c>
      <c r="B67" s="108">
        <v>20</v>
      </c>
      <c r="C67" s="109" t="s">
        <v>45</v>
      </c>
      <c r="D67" s="16">
        <v>90417844</v>
      </c>
      <c r="E67" s="16">
        <v>0</v>
      </c>
      <c r="F67" s="16">
        <v>0</v>
      </c>
      <c r="G67" s="16">
        <v>0</v>
      </c>
      <c r="H67" s="16">
        <f>5000000+11000000</f>
        <v>16000000</v>
      </c>
      <c r="I67" s="16">
        <f>10000000+1000000</f>
        <v>11000000</v>
      </c>
      <c r="J67" s="16">
        <f t="shared" si="1"/>
        <v>5000000</v>
      </c>
      <c r="K67" s="16">
        <f t="shared" si="7"/>
        <v>95417844</v>
      </c>
      <c r="L67" s="16">
        <v>92721201</v>
      </c>
      <c r="M67" s="110">
        <f t="shared" si="3"/>
        <v>0.97173858801504676</v>
      </c>
      <c r="N67" s="145">
        <f>+K67-[1]Julio!D74</f>
        <v>5000000</v>
      </c>
    </row>
    <row r="68" spans="1:14" s="4" customFormat="1" ht="24.95" customHeight="1" x14ac:dyDescent="0.25">
      <c r="A68" s="111">
        <v>20442</v>
      </c>
      <c r="B68" s="108">
        <v>20</v>
      </c>
      <c r="C68" s="109" t="s">
        <v>46</v>
      </c>
      <c r="D68" s="16">
        <v>5965891</v>
      </c>
      <c r="E68" s="16">
        <v>0</v>
      </c>
      <c r="F68" s="16">
        <v>0</v>
      </c>
      <c r="G68" s="16">
        <v>0</v>
      </c>
      <c r="H68" s="16">
        <v>5000000</v>
      </c>
      <c r="I68" s="16">
        <v>0</v>
      </c>
      <c r="J68" s="16">
        <f t="shared" si="1"/>
        <v>5000000</v>
      </c>
      <c r="K68" s="16">
        <f t="shared" si="7"/>
        <v>10965891</v>
      </c>
      <c r="L68" s="16">
        <v>10040598</v>
      </c>
      <c r="M68" s="110">
        <f t="shared" si="3"/>
        <v>0.91562081001899431</v>
      </c>
      <c r="N68" s="145">
        <f>+K68-[1]Julio!D75</f>
        <v>0</v>
      </c>
    </row>
    <row r="69" spans="1:14" s="4" customFormat="1" ht="24.95" customHeight="1" x14ac:dyDescent="0.25">
      <c r="A69" s="111">
        <v>20446</v>
      </c>
      <c r="B69" s="108">
        <v>20</v>
      </c>
      <c r="C69" s="109" t="s">
        <v>138</v>
      </c>
      <c r="D69" s="16">
        <v>10072164</v>
      </c>
      <c r="E69" s="16">
        <v>0</v>
      </c>
      <c r="F69" s="16">
        <v>0</v>
      </c>
      <c r="G69" s="16">
        <v>0</v>
      </c>
      <c r="H69" s="16">
        <v>0</v>
      </c>
      <c r="I69" s="16">
        <v>10000000</v>
      </c>
      <c r="J69" s="16">
        <f t="shared" si="1"/>
        <v>-10000000</v>
      </c>
      <c r="K69" s="16">
        <f t="shared" si="7"/>
        <v>72164</v>
      </c>
      <c r="L69" s="16">
        <v>0</v>
      </c>
      <c r="M69" s="110">
        <f t="shared" si="3"/>
        <v>0</v>
      </c>
      <c r="N69" s="145"/>
    </row>
    <row r="70" spans="1:14" s="4" customFormat="1" ht="24.95" customHeight="1" x14ac:dyDescent="0.25">
      <c r="A70" s="111">
        <v>20449</v>
      </c>
      <c r="B70" s="108">
        <v>20</v>
      </c>
      <c r="C70" s="109" t="s">
        <v>47</v>
      </c>
      <c r="D70" s="16">
        <v>2637882</v>
      </c>
      <c r="E70" s="16">
        <v>0</v>
      </c>
      <c r="F70" s="16">
        <v>0</v>
      </c>
      <c r="G70" s="16">
        <v>0</v>
      </c>
      <c r="H70" s="16">
        <v>0</v>
      </c>
      <c r="I70" s="16">
        <f>1000000+1000000</f>
        <v>2000000</v>
      </c>
      <c r="J70" s="16">
        <f t="shared" si="1"/>
        <v>-2000000</v>
      </c>
      <c r="K70" s="16">
        <f t="shared" si="7"/>
        <v>637882</v>
      </c>
      <c r="L70" s="16">
        <v>128205</v>
      </c>
      <c r="M70" s="110">
        <f t="shared" si="3"/>
        <v>0.20098544871935561</v>
      </c>
      <c r="N70" s="145">
        <f>+K70-[1]Julio!D77</f>
        <v>-2000000</v>
      </c>
    </row>
    <row r="71" spans="1:14" s="4" customFormat="1" ht="33" customHeight="1" x14ac:dyDescent="0.25">
      <c r="A71" s="111">
        <v>204413</v>
      </c>
      <c r="B71" s="108">
        <v>20</v>
      </c>
      <c r="C71" s="109" t="s">
        <v>48</v>
      </c>
      <c r="D71" s="16">
        <v>1622407</v>
      </c>
      <c r="E71" s="16">
        <v>0</v>
      </c>
      <c r="F71" s="16">
        <v>0</v>
      </c>
      <c r="G71" s="16">
        <v>0</v>
      </c>
      <c r="H71" s="16">
        <v>0</v>
      </c>
      <c r="I71" s="16">
        <v>1000000</v>
      </c>
      <c r="J71" s="16">
        <f t="shared" si="1"/>
        <v>-1000000</v>
      </c>
      <c r="K71" s="16">
        <f t="shared" si="7"/>
        <v>622407</v>
      </c>
      <c r="L71" s="16">
        <v>398</v>
      </c>
      <c r="M71" s="110">
        <f t="shared" si="3"/>
        <v>6.3945296245061507E-4</v>
      </c>
      <c r="N71" s="145">
        <f>+K71-[1]Julio!D78</f>
        <v>-1000000</v>
      </c>
    </row>
    <row r="72" spans="1:14" s="4" customFormat="1" ht="33" customHeight="1" x14ac:dyDescent="0.25">
      <c r="A72" s="111">
        <v>204415</v>
      </c>
      <c r="B72" s="108">
        <v>20</v>
      </c>
      <c r="C72" s="109" t="s">
        <v>49</v>
      </c>
      <c r="D72" s="16">
        <v>60145322</v>
      </c>
      <c r="E72" s="16">
        <v>0</v>
      </c>
      <c r="F72" s="16">
        <v>0</v>
      </c>
      <c r="G72" s="16">
        <v>0</v>
      </c>
      <c r="H72" s="16">
        <v>0</v>
      </c>
      <c r="I72" s="16">
        <f>5000000+1000000</f>
        <v>6000000</v>
      </c>
      <c r="J72" s="16">
        <f t="shared" si="1"/>
        <v>-6000000</v>
      </c>
      <c r="K72" s="16">
        <f t="shared" si="7"/>
        <v>54145322</v>
      </c>
      <c r="L72" s="16">
        <v>52519415</v>
      </c>
      <c r="M72" s="110">
        <f t="shared" si="3"/>
        <v>0.96997142246194412</v>
      </c>
      <c r="N72" s="145">
        <f>+K72-[1]Julio!D79</f>
        <v>-6000000</v>
      </c>
    </row>
    <row r="73" spans="1:14" s="4" customFormat="1" ht="24.95" customHeight="1" x14ac:dyDescent="0.25">
      <c r="A73" s="111">
        <v>204417</v>
      </c>
      <c r="B73" s="108">
        <v>20</v>
      </c>
      <c r="C73" s="109" t="s">
        <v>50</v>
      </c>
      <c r="D73" s="16">
        <v>1580149</v>
      </c>
      <c r="E73" s="16">
        <v>0</v>
      </c>
      <c r="F73" s="16">
        <v>0</v>
      </c>
      <c r="G73" s="16">
        <v>0</v>
      </c>
      <c r="H73" s="16">
        <v>0</v>
      </c>
      <c r="I73" s="16">
        <v>1000000</v>
      </c>
      <c r="J73" s="16">
        <f t="shared" si="1"/>
        <v>-1000000</v>
      </c>
      <c r="K73" s="16">
        <f t="shared" si="7"/>
        <v>580149</v>
      </c>
      <c r="L73" s="16">
        <v>398</v>
      </c>
      <c r="M73" s="110">
        <f t="shared" si="3"/>
        <v>6.8603065764139904E-4</v>
      </c>
      <c r="N73" s="145">
        <f>+K73-[1]Julio!D80</f>
        <v>-1000000</v>
      </c>
    </row>
    <row r="74" spans="1:14" s="4" customFormat="1" ht="37.5" customHeight="1" x14ac:dyDescent="0.25">
      <c r="A74" s="111">
        <v>204418</v>
      </c>
      <c r="B74" s="108">
        <v>20</v>
      </c>
      <c r="C74" s="109" t="s">
        <v>51</v>
      </c>
      <c r="D74" s="16">
        <v>7661058</v>
      </c>
      <c r="E74" s="16">
        <v>0</v>
      </c>
      <c r="F74" s="16">
        <v>0</v>
      </c>
      <c r="G74" s="16">
        <v>0</v>
      </c>
      <c r="H74" s="16">
        <v>0</v>
      </c>
      <c r="I74" s="16">
        <f>1000000+1000000</f>
        <v>2000000</v>
      </c>
      <c r="J74" s="16">
        <f t="shared" si="1"/>
        <v>-2000000</v>
      </c>
      <c r="K74" s="16">
        <f t="shared" si="7"/>
        <v>5661058</v>
      </c>
      <c r="L74" s="16">
        <v>3753615</v>
      </c>
      <c r="M74" s="110">
        <f t="shared" si="3"/>
        <v>0.6630589193751415</v>
      </c>
      <c r="N74" s="145">
        <f>+K74-[1]Julio!D81</f>
        <v>-2000000</v>
      </c>
    </row>
    <row r="75" spans="1:14" s="4" customFormat="1" ht="24.95" customHeight="1" x14ac:dyDescent="0.25">
      <c r="A75" s="111">
        <v>204420</v>
      </c>
      <c r="B75" s="108">
        <v>20</v>
      </c>
      <c r="C75" s="109" t="s">
        <v>52</v>
      </c>
      <c r="D75" s="16">
        <v>28730360</v>
      </c>
      <c r="E75" s="16">
        <v>0</v>
      </c>
      <c r="F75" s="16">
        <v>0</v>
      </c>
      <c r="G75" s="16">
        <v>0</v>
      </c>
      <c r="H75" s="16">
        <v>0</v>
      </c>
      <c r="I75" s="16">
        <f>15000000+1000000</f>
        <v>16000000</v>
      </c>
      <c r="J75" s="16">
        <f t="shared" ref="J75:J138" si="33">E75-F75-G75+H75-I75</f>
        <v>-16000000</v>
      </c>
      <c r="K75" s="16">
        <f t="shared" si="7"/>
        <v>12730360</v>
      </c>
      <c r="L75" s="16">
        <v>11581864</v>
      </c>
      <c r="M75" s="110">
        <f t="shared" si="3"/>
        <v>0.90978291265918643</v>
      </c>
      <c r="N75" s="145">
        <f>+K75-[1]Julio!D82</f>
        <v>-16000000</v>
      </c>
    </row>
    <row r="76" spans="1:14" s="4" customFormat="1" ht="24.95" customHeight="1" x14ac:dyDescent="0.25">
      <c r="A76" s="111">
        <v>204421</v>
      </c>
      <c r="B76" s="108">
        <v>20</v>
      </c>
      <c r="C76" s="109" t="s">
        <v>53</v>
      </c>
      <c r="D76" s="16">
        <v>6531881</v>
      </c>
      <c r="E76" s="16">
        <v>0</v>
      </c>
      <c r="F76" s="16">
        <v>0</v>
      </c>
      <c r="G76" s="16">
        <v>0</v>
      </c>
      <c r="H76" s="16">
        <v>0</v>
      </c>
      <c r="I76" s="16">
        <f>3000000+2500000</f>
        <v>5500000</v>
      </c>
      <c r="J76" s="16">
        <f t="shared" si="33"/>
        <v>-5500000</v>
      </c>
      <c r="K76" s="16">
        <f t="shared" si="7"/>
        <v>1031881</v>
      </c>
      <c r="L76" s="16">
        <v>15959</v>
      </c>
      <c r="M76" s="110">
        <f t="shared" si="3"/>
        <v>1.5465930664485537E-2</v>
      </c>
      <c r="N76" s="145">
        <f>+K76-[1]Julio!D83</f>
        <v>-5500000</v>
      </c>
    </row>
    <row r="77" spans="1:14" s="4" customFormat="1" ht="24.95" customHeight="1" x14ac:dyDescent="0.25">
      <c r="A77" s="111">
        <v>204423</v>
      </c>
      <c r="B77" s="108">
        <v>20</v>
      </c>
      <c r="C77" s="109" t="s">
        <v>54</v>
      </c>
      <c r="D77" s="16">
        <v>5026829</v>
      </c>
      <c r="E77" s="16">
        <v>0</v>
      </c>
      <c r="F77" s="16">
        <v>0</v>
      </c>
      <c r="G77" s="16">
        <v>0</v>
      </c>
      <c r="H77" s="16">
        <v>0</v>
      </c>
      <c r="I77" s="16">
        <f>3000000+1000000+1000000</f>
        <v>5000000</v>
      </c>
      <c r="J77" s="16">
        <f t="shared" si="33"/>
        <v>-5000000</v>
      </c>
      <c r="K77" s="16">
        <f t="shared" si="7"/>
        <v>26829</v>
      </c>
      <c r="L77" s="16">
        <v>0</v>
      </c>
      <c r="M77" s="110">
        <f t="shared" si="3"/>
        <v>0</v>
      </c>
      <c r="N77" s="145">
        <f>+K77-[1]Julio!D84</f>
        <v>-5000000</v>
      </c>
    </row>
    <row r="78" spans="1:14" s="4" customFormat="1" ht="24.95" customHeight="1" x14ac:dyDescent="0.25">
      <c r="A78" s="111">
        <v>2045</v>
      </c>
      <c r="B78" s="108"/>
      <c r="C78" s="109" t="s">
        <v>55</v>
      </c>
      <c r="D78" s="16">
        <f>SUM(D79:D86)</f>
        <v>797132512</v>
      </c>
      <c r="E78" s="16">
        <f t="shared" ref="E78:I78" si="34">SUM(E79:E86)</f>
        <v>0</v>
      </c>
      <c r="F78" s="16">
        <f t="shared" si="34"/>
        <v>0</v>
      </c>
      <c r="G78" s="16">
        <f t="shared" si="34"/>
        <v>0</v>
      </c>
      <c r="H78" s="16">
        <f t="shared" si="34"/>
        <v>140100000</v>
      </c>
      <c r="I78" s="16">
        <f t="shared" si="34"/>
        <v>106000000</v>
      </c>
      <c r="J78" s="16">
        <f t="shared" si="33"/>
        <v>34100000</v>
      </c>
      <c r="K78" s="16">
        <f t="shared" si="7"/>
        <v>831232512</v>
      </c>
      <c r="L78" s="16">
        <f>SUM(L79:L86)</f>
        <v>823595508</v>
      </c>
      <c r="M78" s="110">
        <f t="shared" ref="M78:M156" si="35">+L78/K78</f>
        <v>0.99081243347709669</v>
      </c>
      <c r="N78" s="145">
        <f>+K78-[1]Julio!D85</f>
        <v>-10900000</v>
      </c>
    </row>
    <row r="79" spans="1:14" s="4" customFormat="1" ht="34.5" customHeight="1" x14ac:dyDescent="0.25">
      <c r="A79" s="111">
        <v>20451</v>
      </c>
      <c r="B79" s="108">
        <v>20</v>
      </c>
      <c r="C79" s="109" t="s">
        <v>56</v>
      </c>
      <c r="D79" s="16">
        <v>70835400</v>
      </c>
      <c r="E79" s="16">
        <v>0</v>
      </c>
      <c r="F79" s="16">
        <v>0</v>
      </c>
      <c r="G79" s="16">
        <v>0</v>
      </c>
      <c r="H79" s="16">
        <f>30000000+12000000</f>
        <v>42000000</v>
      </c>
      <c r="I79" s="16">
        <f>1000000+1000000+5000000</f>
        <v>7000000</v>
      </c>
      <c r="J79" s="16">
        <f t="shared" si="33"/>
        <v>35000000</v>
      </c>
      <c r="K79" s="16">
        <f t="shared" si="7"/>
        <v>105835400</v>
      </c>
      <c r="L79" s="16">
        <v>105204921</v>
      </c>
      <c r="M79" s="110">
        <f t="shared" si="35"/>
        <v>0.99404283443913855</v>
      </c>
      <c r="N79" s="145">
        <f>+K79-[1]Julio!D86</f>
        <v>5000000</v>
      </c>
    </row>
    <row r="80" spans="1:14" s="4" customFormat="1" ht="32.25" customHeight="1" x14ac:dyDescent="0.25">
      <c r="A80" s="111">
        <v>20452</v>
      </c>
      <c r="B80" s="108">
        <v>20</v>
      </c>
      <c r="C80" s="109" t="s">
        <v>57</v>
      </c>
      <c r="D80" s="16">
        <v>22754372</v>
      </c>
      <c r="E80" s="16">
        <v>0</v>
      </c>
      <c r="F80" s="16">
        <v>0</v>
      </c>
      <c r="G80" s="16">
        <v>0</v>
      </c>
      <c r="H80" s="16">
        <f>15000000+9000000</f>
        <v>24000000</v>
      </c>
      <c r="I80" s="16">
        <f>5000000+5000000</f>
        <v>10000000</v>
      </c>
      <c r="J80" s="16">
        <f t="shared" si="33"/>
        <v>14000000</v>
      </c>
      <c r="K80" s="16">
        <f t="shared" si="7"/>
        <v>36754372</v>
      </c>
      <c r="L80" s="16">
        <v>35444475</v>
      </c>
      <c r="M80" s="110">
        <f t="shared" si="35"/>
        <v>0.9643607840721643</v>
      </c>
      <c r="N80" s="145">
        <f>+K80-[1]Julio!D87</f>
        <v>-1000000</v>
      </c>
    </row>
    <row r="81" spans="1:54" s="4" customFormat="1" ht="29.25" customHeight="1" x14ac:dyDescent="0.25">
      <c r="A81" s="111">
        <v>20455</v>
      </c>
      <c r="B81" s="108">
        <v>20</v>
      </c>
      <c r="C81" s="109" t="s">
        <v>58</v>
      </c>
      <c r="D81" s="16">
        <v>61063257</v>
      </c>
      <c r="E81" s="16">
        <v>0</v>
      </c>
      <c r="F81" s="16">
        <v>0</v>
      </c>
      <c r="G81" s="16">
        <v>0</v>
      </c>
      <c r="H81" s="16">
        <v>0</v>
      </c>
      <c r="I81" s="16">
        <f>27000000+22000000</f>
        <v>49000000</v>
      </c>
      <c r="J81" s="16">
        <f t="shared" si="33"/>
        <v>-49000000</v>
      </c>
      <c r="K81" s="16">
        <f t="shared" si="7"/>
        <v>12063257</v>
      </c>
      <c r="L81" s="16">
        <v>10509449</v>
      </c>
      <c r="M81" s="110">
        <f t="shared" si="35"/>
        <v>0.8711949849033308</v>
      </c>
      <c r="N81" s="145">
        <f>+K81-[1]Julio!D88</f>
        <v>-49000000</v>
      </c>
    </row>
    <row r="82" spans="1:54" s="4" customFormat="1" ht="31.5" x14ac:dyDescent="0.25">
      <c r="A82" s="111">
        <v>20456</v>
      </c>
      <c r="B82" s="108">
        <v>20</v>
      </c>
      <c r="C82" s="109" t="s">
        <v>59</v>
      </c>
      <c r="D82" s="16">
        <v>103628588</v>
      </c>
      <c r="E82" s="16">
        <v>0</v>
      </c>
      <c r="F82" s="16">
        <v>0</v>
      </c>
      <c r="G82" s="16">
        <v>0</v>
      </c>
      <c r="H82" s="16">
        <v>12000000</v>
      </c>
      <c r="I82" s="16">
        <v>1500000</v>
      </c>
      <c r="J82" s="16">
        <f t="shared" si="33"/>
        <v>10500000</v>
      </c>
      <c r="K82" s="16">
        <f t="shared" ref="K82:L171" si="36">D82+J82</f>
        <v>114128588</v>
      </c>
      <c r="L82" s="16">
        <v>113371743</v>
      </c>
      <c r="M82" s="110">
        <f t="shared" si="35"/>
        <v>0.99336848888378426</v>
      </c>
      <c r="N82" s="145">
        <f>+K82-[1]Julio!D89</f>
        <v>10500000</v>
      </c>
    </row>
    <row r="83" spans="1:54" s="4" customFormat="1" ht="24.95" customHeight="1" x14ac:dyDescent="0.25">
      <c r="A83" s="111">
        <v>20458</v>
      </c>
      <c r="B83" s="108">
        <v>20</v>
      </c>
      <c r="C83" s="109" t="s">
        <v>157</v>
      </c>
      <c r="D83" s="16">
        <v>217870001</v>
      </c>
      <c r="E83" s="16">
        <v>0</v>
      </c>
      <c r="F83" s="16">
        <v>0</v>
      </c>
      <c r="G83" s="16">
        <v>0</v>
      </c>
      <c r="H83" s="16">
        <f>1000000+8000000+6500000</f>
        <v>15500000</v>
      </c>
      <c r="I83" s="16">
        <v>11000000</v>
      </c>
      <c r="J83" s="16">
        <f t="shared" si="33"/>
        <v>4500000</v>
      </c>
      <c r="K83" s="16">
        <f t="shared" si="36"/>
        <v>222370001</v>
      </c>
      <c r="L83" s="16">
        <v>221331800</v>
      </c>
      <c r="M83" s="110">
        <f t="shared" si="35"/>
        <v>0.99533120027282818</v>
      </c>
      <c r="N83" s="145"/>
    </row>
    <row r="84" spans="1:54" s="4" customFormat="1" ht="24.95" customHeight="1" x14ac:dyDescent="0.25">
      <c r="A84" s="111">
        <v>204510</v>
      </c>
      <c r="B84" s="108">
        <v>20</v>
      </c>
      <c r="C84" s="109" t="s">
        <v>158</v>
      </c>
      <c r="D84" s="16">
        <v>277338600</v>
      </c>
      <c r="E84" s="16">
        <v>0</v>
      </c>
      <c r="F84" s="16">
        <v>0</v>
      </c>
      <c r="G84" s="16">
        <v>0</v>
      </c>
      <c r="H84" s="16">
        <f>5000000+21100000+10500000</f>
        <v>36600000</v>
      </c>
      <c r="I84" s="16">
        <v>11000000</v>
      </c>
      <c r="J84" s="16">
        <f t="shared" si="33"/>
        <v>25600000</v>
      </c>
      <c r="K84" s="16">
        <f t="shared" si="36"/>
        <v>302938600</v>
      </c>
      <c r="L84" s="16">
        <v>301882719</v>
      </c>
      <c r="M84" s="110">
        <f t="shared" si="35"/>
        <v>0.9965145379294682</v>
      </c>
      <c r="N84" s="145"/>
    </row>
    <row r="85" spans="1:54" s="4" customFormat="1" ht="24.95" customHeight="1" x14ac:dyDescent="0.25">
      <c r="A85" s="111">
        <v>204512</v>
      </c>
      <c r="B85" s="108">
        <v>20</v>
      </c>
      <c r="C85" s="109" t="s">
        <v>60</v>
      </c>
      <c r="D85" s="16">
        <v>1004182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f t="shared" si="33"/>
        <v>0</v>
      </c>
      <c r="K85" s="16">
        <f t="shared" si="36"/>
        <v>1004182</v>
      </c>
      <c r="L85" s="16">
        <v>398</v>
      </c>
      <c r="M85" s="110">
        <f t="shared" si="35"/>
        <v>3.9634249568305346E-4</v>
      </c>
      <c r="N85" s="145"/>
    </row>
    <row r="86" spans="1:54" s="4" customFormat="1" ht="24.95" customHeight="1" x14ac:dyDescent="0.25">
      <c r="A86" s="111">
        <v>204513</v>
      </c>
      <c r="B86" s="108">
        <v>20</v>
      </c>
      <c r="C86" s="109" t="s">
        <v>61</v>
      </c>
      <c r="D86" s="16">
        <v>42638112</v>
      </c>
      <c r="E86" s="16">
        <v>0</v>
      </c>
      <c r="F86" s="16">
        <v>0</v>
      </c>
      <c r="G86" s="16">
        <v>0</v>
      </c>
      <c r="H86" s="16">
        <v>10000000</v>
      </c>
      <c r="I86" s="16">
        <f>5000000+11500000</f>
        <v>16500000</v>
      </c>
      <c r="J86" s="16">
        <f t="shared" si="33"/>
        <v>-6500000</v>
      </c>
      <c r="K86" s="16">
        <f t="shared" si="36"/>
        <v>36138112</v>
      </c>
      <c r="L86" s="16">
        <v>35850003</v>
      </c>
      <c r="M86" s="110">
        <f t="shared" si="35"/>
        <v>0.99202755805283904</v>
      </c>
      <c r="N86" s="145"/>
    </row>
    <row r="87" spans="1:54" s="4" customFormat="1" ht="24.95" customHeight="1" x14ac:dyDescent="0.25">
      <c r="A87" s="111">
        <v>2046</v>
      </c>
      <c r="B87" s="108"/>
      <c r="C87" s="109" t="s">
        <v>62</v>
      </c>
      <c r="D87" s="16">
        <f>SUM(D88:D91)</f>
        <v>220451266</v>
      </c>
      <c r="E87" s="16">
        <f t="shared" ref="E87:I87" si="37">SUM(E88:E91)</f>
        <v>0</v>
      </c>
      <c r="F87" s="16">
        <f t="shared" si="37"/>
        <v>0</v>
      </c>
      <c r="G87" s="16">
        <f t="shared" si="37"/>
        <v>0</v>
      </c>
      <c r="H87" s="16">
        <f t="shared" si="37"/>
        <v>72350000</v>
      </c>
      <c r="I87" s="16">
        <f t="shared" si="37"/>
        <v>26500000</v>
      </c>
      <c r="J87" s="16">
        <f t="shared" si="33"/>
        <v>45850000</v>
      </c>
      <c r="K87" s="16">
        <f t="shared" si="36"/>
        <v>266301266</v>
      </c>
      <c r="L87" s="16">
        <f t="shared" ref="L87" si="38">SUM(L88:L91)</f>
        <v>256344795</v>
      </c>
      <c r="M87" s="110">
        <f t="shared" si="35"/>
        <v>0.96261200275330272</v>
      </c>
      <c r="N87" s="145">
        <f>+K87-[1]Julio!D103</f>
        <v>5850000</v>
      </c>
    </row>
    <row r="88" spans="1:54" s="4" customFormat="1" ht="24.95" customHeight="1" x14ac:dyDescent="0.25">
      <c r="A88" s="111">
        <v>20462</v>
      </c>
      <c r="B88" s="108">
        <v>20</v>
      </c>
      <c r="C88" s="109" t="s">
        <v>63</v>
      </c>
      <c r="D88" s="16">
        <v>143970645</v>
      </c>
      <c r="E88" s="16">
        <v>0</v>
      </c>
      <c r="F88" s="16">
        <v>0</v>
      </c>
      <c r="G88" s="16">
        <v>0</v>
      </c>
      <c r="H88" s="16">
        <f>25000000+20000000+2500000+4000000</f>
        <v>51500000</v>
      </c>
      <c r="I88" s="16">
        <v>0</v>
      </c>
      <c r="J88" s="16">
        <f t="shared" si="33"/>
        <v>51500000</v>
      </c>
      <c r="K88" s="16">
        <f t="shared" si="36"/>
        <v>195470645</v>
      </c>
      <c r="L88" s="16">
        <v>193002213</v>
      </c>
      <c r="M88" s="110">
        <f t="shared" si="35"/>
        <v>0.98737185320077092</v>
      </c>
      <c r="N88" s="145">
        <f>+K88-[1]Julio!D104</f>
        <v>26500000</v>
      </c>
    </row>
    <row r="89" spans="1:54" s="4" customFormat="1" ht="24.95" customHeight="1" x14ac:dyDescent="0.25">
      <c r="A89" s="111">
        <v>20465</v>
      </c>
      <c r="B89" s="108">
        <v>20</v>
      </c>
      <c r="C89" s="109" t="s">
        <v>64</v>
      </c>
      <c r="D89" s="16">
        <v>75472117</v>
      </c>
      <c r="E89" s="16">
        <v>0</v>
      </c>
      <c r="F89" s="16">
        <v>0</v>
      </c>
      <c r="G89" s="16">
        <v>0</v>
      </c>
      <c r="H89" s="16">
        <f>15000000+5850000</f>
        <v>20850000</v>
      </c>
      <c r="I89" s="16">
        <f>20000000+2500000+4000000</f>
        <v>26500000</v>
      </c>
      <c r="J89" s="16">
        <f t="shared" si="33"/>
        <v>-5650000</v>
      </c>
      <c r="K89" s="114">
        <f t="shared" si="36"/>
        <v>69822117</v>
      </c>
      <c r="L89" s="16">
        <v>62917334</v>
      </c>
      <c r="M89" s="110">
        <f t="shared" si="35"/>
        <v>0.90110894231408079</v>
      </c>
      <c r="N89" s="145">
        <f>+K89-[1]Julio!D105</f>
        <v>-20650000</v>
      </c>
      <c r="BB89" s="146"/>
    </row>
    <row r="90" spans="1:54" s="4" customFormat="1" ht="24.95" customHeight="1" x14ac:dyDescent="0.25">
      <c r="A90" s="111">
        <v>20467</v>
      </c>
      <c r="B90" s="108">
        <v>20</v>
      </c>
      <c r="C90" s="109" t="s">
        <v>65</v>
      </c>
      <c r="D90" s="16">
        <v>1008504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f t="shared" si="33"/>
        <v>0</v>
      </c>
      <c r="K90" s="16">
        <f t="shared" si="36"/>
        <v>1008504</v>
      </c>
      <c r="L90" s="16">
        <v>425248</v>
      </c>
      <c r="M90" s="110">
        <f t="shared" si="35"/>
        <v>0.42166218478062556</v>
      </c>
      <c r="N90" s="145">
        <f>+K90-[1]Julio!D106</f>
        <v>0</v>
      </c>
    </row>
    <row r="91" spans="1:54" s="4" customFormat="1" ht="24.95" customHeight="1" x14ac:dyDescent="0.25">
      <c r="A91" s="111">
        <v>20468</v>
      </c>
      <c r="B91" s="108">
        <v>20</v>
      </c>
      <c r="C91" s="109" t="s">
        <v>66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f t="shared" si="33"/>
        <v>0</v>
      </c>
      <c r="K91" s="16">
        <f t="shared" si="36"/>
        <v>0</v>
      </c>
      <c r="L91" s="16">
        <v>0</v>
      </c>
      <c r="M91" s="110" t="s">
        <v>155</v>
      </c>
      <c r="N91" s="145"/>
    </row>
    <row r="92" spans="1:54" s="4" customFormat="1" ht="24.95" customHeight="1" x14ac:dyDescent="0.25">
      <c r="A92" s="111">
        <v>2047</v>
      </c>
      <c r="B92" s="108"/>
      <c r="C92" s="109" t="s">
        <v>67</v>
      </c>
      <c r="D92" s="16">
        <f t="shared" ref="D92:I92" si="39">SUM(D93:D94)</f>
        <v>195838270</v>
      </c>
      <c r="E92" s="16">
        <f t="shared" si="39"/>
        <v>0</v>
      </c>
      <c r="F92" s="16">
        <f t="shared" si="39"/>
        <v>0</v>
      </c>
      <c r="G92" s="16">
        <f t="shared" si="39"/>
        <v>0</v>
      </c>
      <c r="H92" s="16">
        <f t="shared" si="39"/>
        <v>15000000</v>
      </c>
      <c r="I92" s="16">
        <f t="shared" si="39"/>
        <v>36000000</v>
      </c>
      <c r="J92" s="16">
        <f t="shared" si="33"/>
        <v>-21000000</v>
      </c>
      <c r="K92" s="16">
        <f t="shared" si="36"/>
        <v>174838270</v>
      </c>
      <c r="L92" s="16">
        <f>SUM(L93:L94)</f>
        <v>166831301</v>
      </c>
      <c r="M92" s="110">
        <f t="shared" si="35"/>
        <v>0.95420356767428549</v>
      </c>
      <c r="N92" s="145">
        <f>+K92-[1]Julio!D107</f>
        <v>-21000000</v>
      </c>
    </row>
    <row r="93" spans="1:54" s="4" customFormat="1" ht="24.95" customHeight="1" x14ac:dyDescent="0.25">
      <c r="A93" s="111">
        <v>20475</v>
      </c>
      <c r="B93" s="108">
        <v>20</v>
      </c>
      <c r="C93" s="109" t="s">
        <v>68</v>
      </c>
      <c r="D93" s="16">
        <v>32655119</v>
      </c>
      <c r="E93" s="16">
        <v>0</v>
      </c>
      <c r="F93" s="16">
        <v>0</v>
      </c>
      <c r="G93" s="16">
        <v>0</v>
      </c>
      <c r="H93" s="16">
        <v>0</v>
      </c>
      <c r="I93" s="16">
        <f>25000000+1000000</f>
        <v>26000000</v>
      </c>
      <c r="J93" s="16">
        <f t="shared" si="33"/>
        <v>-26000000</v>
      </c>
      <c r="K93" s="16">
        <f t="shared" si="36"/>
        <v>6655119</v>
      </c>
      <c r="L93" s="16">
        <v>1737121</v>
      </c>
      <c r="M93" s="110">
        <f t="shared" si="35"/>
        <v>0.26102027627154373</v>
      </c>
      <c r="N93" s="145">
        <f>+K93-[1]Julio!D108</f>
        <v>-26000000</v>
      </c>
    </row>
    <row r="94" spans="1:54" s="4" customFormat="1" ht="33.75" customHeight="1" x14ac:dyDescent="0.25">
      <c r="A94" s="111">
        <v>20476</v>
      </c>
      <c r="B94" s="108">
        <v>20</v>
      </c>
      <c r="C94" s="109" t="s">
        <v>69</v>
      </c>
      <c r="D94" s="16">
        <v>163183151</v>
      </c>
      <c r="E94" s="16">
        <v>0</v>
      </c>
      <c r="F94" s="16">
        <v>0</v>
      </c>
      <c r="G94" s="16">
        <v>0</v>
      </c>
      <c r="H94" s="16">
        <v>15000000</v>
      </c>
      <c r="I94" s="16">
        <f>2000000+8000000</f>
        <v>10000000</v>
      </c>
      <c r="J94" s="16">
        <f t="shared" si="33"/>
        <v>5000000</v>
      </c>
      <c r="K94" s="16">
        <f t="shared" si="36"/>
        <v>168183151</v>
      </c>
      <c r="L94" s="16">
        <v>165094180</v>
      </c>
      <c r="M94" s="110">
        <f t="shared" si="35"/>
        <v>0.98163329095909257</v>
      </c>
      <c r="N94" s="145">
        <f>+K94-[1]Julio!D109</f>
        <v>5000000</v>
      </c>
    </row>
    <row r="95" spans="1:54" s="4" customFormat="1" ht="24.95" customHeight="1" x14ac:dyDescent="0.25">
      <c r="A95" s="111">
        <v>2048</v>
      </c>
      <c r="B95" s="108"/>
      <c r="C95" s="109" t="s">
        <v>70</v>
      </c>
      <c r="D95" s="16">
        <f>SUM(D96:D99)</f>
        <v>261231350</v>
      </c>
      <c r="E95" s="16">
        <f t="shared" ref="E95:I95" si="40">SUM(E96:E99)</f>
        <v>0</v>
      </c>
      <c r="F95" s="16">
        <f t="shared" si="40"/>
        <v>0</v>
      </c>
      <c r="G95" s="16">
        <f t="shared" si="40"/>
        <v>0</v>
      </c>
      <c r="H95" s="16">
        <f t="shared" si="40"/>
        <v>14000000</v>
      </c>
      <c r="I95" s="16">
        <f t="shared" si="40"/>
        <v>44850000</v>
      </c>
      <c r="J95" s="16">
        <f t="shared" si="33"/>
        <v>-30850000</v>
      </c>
      <c r="K95" s="16">
        <f t="shared" si="36"/>
        <v>230381350</v>
      </c>
      <c r="L95" s="16">
        <f t="shared" ref="L95" si="41">SUM(L96:L99)</f>
        <v>208929357</v>
      </c>
      <c r="M95" s="110">
        <f t="shared" si="35"/>
        <v>0.90688485417764941</v>
      </c>
      <c r="N95" s="145">
        <f>+K95-[1]Julio!D110</f>
        <v>-30850000</v>
      </c>
    </row>
    <row r="96" spans="1:54" s="4" customFormat="1" ht="24.95" customHeight="1" x14ac:dyDescent="0.25">
      <c r="A96" s="111">
        <v>20481</v>
      </c>
      <c r="B96" s="108">
        <v>20</v>
      </c>
      <c r="C96" s="109" t="s">
        <v>71</v>
      </c>
      <c r="D96" s="16">
        <v>10041818</v>
      </c>
      <c r="E96" s="16">
        <v>0</v>
      </c>
      <c r="F96" s="16">
        <v>0</v>
      </c>
      <c r="G96" s="16">
        <v>0</v>
      </c>
      <c r="H96" s="16">
        <v>0</v>
      </c>
      <c r="I96" s="16">
        <f>3000000+1600000</f>
        <v>4600000</v>
      </c>
      <c r="J96" s="16">
        <f t="shared" si="33"/>
        <v>-4600000</v>
      </c>
      <c r="K96" s="16">
        <f t="shared" si="36"/>
        <v>5441818</v>
      </c>
      <c r="L96" s="16">
        <v>2562415</v>
      </c>
      <c r="M96" s="110">
        <f t="shared" si="35"/>
        <v>0.47087480691195477</v>
      </c>
      <c r="N96" s="145">
        <f>+K96-[1]Julio!D111</f>
        <v>-4600000</v>
      </c>
    </row>
    <row r="97" spans="1:52" s="4" customFormat="1" ht="24.95" customHeight="1" x14ac:dyDescent="0.25">
      <c r="A97" s="111">
        <v>20482</v>
      </c>
      <c r="B97" s="108">
        <v>20</v>
      </c>
      <c r="C97" s="109" t="s">
        <v>72</v>
      </c>
      <c r="D97" s="16">
        <v>160640280</v>
      </c>
      <c r="E97" s="16">
        <v>0</v>
      </c>
      <c r="F97" s="16">
        <v>0</v>
      </c>
      <c r="G97" s="16">
        <v>0</v>
      </c>
      <c r="H97" s="16">
        <f>2000000+12000000</f>
        <v>14000000</v>
      </c>
      <c r="I97" s="16">
        <v>15000000</v>
      </c>
      <c r="J97" s="16">
        <f t="shared" si="33"/>
        <v>-1000000</v>
      </c>
      <c r="K97" s="16">
        <f t="shared" si="36"/>
        <v>159640280</v>
      </c>
      <c r="L97" s="16">
        <v>158822057</v>
      </c>
      <c r="M97" s="110">
        <f t="shared" si="35"/>
        <v>0.99487458303130016</v>
      </c>
      <c r="N97" s="145">
        <f>+K97-[1]Julio!D112</f>
        <v>-1000000</v>
      </c>
    </row>
    <row r="98" spans="1:52" s="4" customFormat="1" ht="24.95" customHeight="1" x14ac:dyDescent="0.25">
      <c r="A98" s="111">
        <v>20485</v>
      </c>
      <c r="B98" s="108">
        <v>20</v>
      </c>
      <c r="C98" s="109" t="s">
        <v>73</v>
      </c>
      <c r="D98" s="16">
        <v>30183084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f t="shared" si="33"/>
        <v>0</v>
      </c>
      <c r="K98" s="16">
        <f t="shared" si="36"/>
        <v>30183084</v>
      </c>
      <c r="L98" s="16">
        <v>28851660</v>
      </c>
      <c r="M98" s="110">
        <f t="shared" si="35"/>
        <v>0.95588840424656407</v>
      </c>
      <c r="N98" s="145">
        <f>+K98-[1]Julio!D113</f>
        <v>0</v>
      </c>
    </row>
    <row r="99" spans="1:52" s="4" customFormat="1" ht="24.95" customHeight="1" x14ac:dyDescent="0.25">
      <c r="A99" s="111">
        <v>20486</v>
      </c>
      <c r="B99" s="108">
        <v>20</v>
      </c>
      <c r="C99" s="109" t="s">
        <v>74</v>
      </c>
      <c r="D99" s="16">
        <v>60366168</v>
      </c>
      <c r="E99" s="16">
        <v>0</v>
      </c>
      <c r="F99" s="16">
        <v>0</v>
      </c>
      <c r="G99" s="16">
        <v>0</v>
      </c>
      <c r="H99" s="16">
        <v>0</v>
      </c>
      <c r="I99" s="16">
        <f>10000000+10000000+5250000</f>
        <v>25250000</v>
      </c>
      <c r="J99" s="16">
        <f t="shared" si="33"/>
        <v>-25250000</v>
      </c>
      <c r="K99" s="16">
        <f>D99+J99</f>
        <v>35116168</v>
      </c>
      <c r="L99" s="16">
        <v>18693225</v>
      </c>
      <c r="M99" s="110">
        <f t="shared" si="35"/>
        <v>0.53232530952693924</v>
      </c>
      <c r="N99" s="145">
        <f>+K99-[1]Julio!D114</f>
        <v>-25250000</v>
      </c>
    </row>
    <row r="100" spans="1:52" s="4" customFormat="1" ht="24.95" customHeight="1" x14ac:dyDescent="0.25">
      <c r="A100" s="111">
        <v>2049</v>
      </c>
      <c r="B100" s="108"/>
      <c r="C100" s="109" t="s">
        <v>75</v>
      </c>
      <c r="D100" s="16">
        <f>SUM(D101:D103)</f>
        <v>603391545</v>
      </c>
      <c r="E100" s="16">
        <f t="shared" ref="E100:G100" si="42">SUM(E101:E103)</f>
        <v>0</v>
      </c>
      <c r="F100" s="16">
        <f t="shared" si="42"/>
        <v>0</v>
      </c>
      <c r="G100" s="16">
        <f t="shared" si="42"/>
        <v>0</v>
      </c>
      <c r="H100" s="16">
        <f>SUM(H101:H103)</f>
        <v>0</v>
      </c>
      <c r="I100" s="16">
        <f>SUM(I101:I103)</f>
        <v>276800000</v>
      </c>
      <c r="J100" s="16">
        <f t="shared" si="33"/>
        <v>-276800000</v>
      </c>
      <c r="K100" s="16">
        <f>D100+J100</f>
        <v>326591545</v>
      </c>
      <c r="L100" s="16">
        <f t="shared" ref="L100" si="43">SUM(L101:L103)</f>
        <v>323662703</v>
      </c>
      <c r="M100" s="110">
        <f t="shared" si="35"/>
        <v>0.9910320948449538</v>
      </c>
      <c r="N100" s="145">
        <f>+K100-[1]Julio!D115</f>
        <v>-276800000</v>
      </c>
    </row>
    <row r="101" spans="1:52" s="4" customFormat="1" ht="34.5" customHeight="1" x14ac:dyDescent="0.25">
      <c r="A101" s="111">
        <v>20495</v>
      </c>
      <c r="B101" s="108">
        <v>20</v>
      </c>
      <c r="C101" s="109" t="s">
        <v>76</v>
      </c>
      <c r="D101" s="16">
        <v>60240105</v>
      </c>
      <c r="E101" s="16">
        <v>0</v>
      </c>
      <c r="F101" s="16">
        <v>0</v>
      </c>
      <c r="G101" s="16">
        <v>0</v>
      </c>
      <c r="H101" s="16">
        <v>0</v>
      </c>
      <c r="I101" s="16">
        <f>34000000+800000</f>
        <v>34800000</v>
      </c>
      <c r="J101" s="16">
        <f t="shared" si="33"/>
        <v>-34800000</v>
      </c>
      <c r="K101" s="114">
        <f t="shared" si="36"/>
        <v>25440105</v>
      </c>
      <c r="L101" s="16">
        <v>25411488</v>
      </c>
      <c r="M101" s="110">
        <f t="shared" si="35"/>
        <v>0.99887512256730071</v>
      </c>
      <c r="N101" s="145">
        <f>+K101-[1]Julio!D116</f>
        <v>-34800000</v>
      </c>
      <c r="AZ101" s="146"/>
    </row>
    <row r="102" spans="1:52" s="4" customFormat="1" ht="24.95" customHeight="1" x14ac:dyDescent="0.25">
      <c r="A102" s="111">
        <v>204911</v>
      </c>
      <c r="B102" s="108">
        <v>20</v>
      </c>
      <c r="C102" s="109" t="s">
        <v>77</v>
      </c>
      <c r="D102" s="16">
        <v>91245600</v>
      </c>
      <c r="E102" s="16">
        <v>0</v>
      </c>
      <c r="F102" s="16">
        <v>0</v>
      </c>
      <c r="G102" s="16">
        <v>0</v>
      </c>
      <c r="H102" s="16">
        <v>0</v>
      </c>
      <c r="I102" s="16">
        <f>27000000+4000000</f>
        <v>31000000</v>
      </c>
      <c r="J102" s="16">
        <f t="shared" si="33"/>
        <v>-31000000</v>
      </c>
      <c r="K102" s="114">
        <v>60245600</v>
      </c>
      <c r="L102" s="16">
        <v>58584978</v>
      </c>
      <c r="M102" s="110">
        <f t="shared" si="35"/>
        <v>0.97243579614112896</v>
      </c>
      <c r="N102" s="145">
        <f>+K102-[1]Julio!D117</f>
        <v>-31000000</v>
      </c>
    </row>
    <row r="103" spans="1:52" s="4" customFormat="1" ht="24.95" customHeight="1" x14ac:dyDescent="0.25">
      <c r="A103" s="111">
        <v>204913</v>
      </c>
      <c r="B103" s="108">
        <v>20</v>
      </c>
      <c r="C103" s="109" t="s">
        <v>78</v>
      </c>
      <c r="D103" s="16">
        <v>451905840</v>
      </c>
      <c r="E103" s="16">
        <v>0</v>
      </c>
      <c r="F103" s="16">
        <v>0</v>
      </c>
      <c r="G103" s="16">
        <v>0</v>
      </c>
      <c r="H103" s="16">
        <v>0</v>
      </c>
      <c r="I103" s="16">
        <f>167000000+44000000</f>
        <v>211000000</v>
      </c>
      <c r="J103" s="16">
        <f t="shared" si="33"/>
        <v>-211000000</v>
      </c>
      <c r="K103" s="114">
        <f t="shared" si="36"/>
        <v>240905840</v>
      </c>
      <c r="L103" s="16">
        <v>239666237</v>
      </c>
      <c r="M103" s="110">
        <f t="shared" si="35"/>
        <v>0.99485440867685071</v>
      </c>
      <c r="N103" s="145">
        <f>+K103-[1]Julio!D118</f>
        <v>-211000000</v>
      </c>
    </row>
    <row r="104" spans="1:52" s="4" customFormat="1" ht="24.95" customHeight="1" x14ac:dyDescent="0.25">
      <c r="A104" s="111">
        <v>20410</v>
      </c>
      <c r="B104" s="108"/>
      <c r="C104" s="109" t="s">
        <v>79</v>
      </c>
      <c r="D104" s="16">
        <f>+D105+D106</f>
        <v>2770719847</v>
      </c>
      <c r="E104" s="16">
        <f t="shared" ref="E104:I104" si="44">+E105+E106</f>
        <v>0</v>
      </c>
      <c r="F104" s="16">
        <f t="shared" si="44"/>
        <v>0</v>
      </c>
      <c r="G104" s="16">
        <f t="shared" si="44"/>
        <v>0</v>
      </c>
      <c r="H104" s="16">
        <f t="shared" si="44"/>
        <v>396100000</v>
      </c>
      <c r="I104" s="16">
        <f t="shared" si="44"/>
        <v>361452000</v>
      </c>
      <c r="J104" s="16">
        <f t="shared" si="33"/>
        <v>34648000</v>
      </c>
      <c r="K104" s="16">
        <f t="shared" si="36"/>
        <v>2805367847</v>
      </c>
      <c r="L104" s="16">
        <f t="shared" ref="L104" si="45">+L105+L106</f>
        <v>2803574820</v>
      </c>
      <c r="M104" s="110">
        <f t="shared" si="35"/>
        <v>0.99936085850491319</v>
      </c>
      <c r="N104" s="145">
        <f>+K104-[1]Julio!D119</f>
        <v>34648000</v>
      </c>
    </row>
    <row r="105" spans="1:52" s="4" customFormat="1" ht="24.95" customHeight="1" x14ac:dyDescent="0.25">
      <c r="A105" s="111">
        <v>204101</v>
      </c>
      <c r="B105" s="108">
        <v>20</v>
      </c>
      <c r="C105" s="109" t="s">
        <v>153</v>
      </c>
      <c r="D105" s="16">
        <v>25104546</v>
      </c>
      <c r="E105" s="16">
        <v>0</v>
      </c>
      <c r="F105" s="16">
        <v>0</v>
      </c>
      <c r="G105" s="16">
        <v>0</v>
      </c>
      <c r="H105" s="16">
        <v>0</v>
      </c>
      <c r="I105" s="16">
        <v>25000000</v>
      </c>
      <c r="J105" s="16">
        <f t="shared" si="33"/>
        <v>-25000000</v>
      </c>
      <c r="K105" s="16">
        <f t="shared" si="36"/>
        <v>104546</v>
      </c>
      <c r="L105" s="16">
        <v>0</v>
      </c>
      <c r="M105" s="110">
        <f t="shared" si="35"/>
        <v>0</v>
      </c>
      <c r="N105" s="145">
        <f>+K105-[1]Julio!D120</f>
        <v>-25000000</v>
      </c>
    </row>
    <row r="106" spans="1:52" s="4" customFormat="1" ht="24.95" customHeight="1" x14ac:dyDescent="0.25">
      <c r="A106" s="111">
        <v>204102</v>
      </c>
      <c r="B106" s="108">
        <v>20</v>
      </c>
      <c r="C106" s="109" t="s">
        <v>80</v>
      </c>
      <c r="D106" s="16">
        <v>2745615301</v>
      </c>
      <c r="E106" s="16">
        <v>0</v>
      </c>
      <c r="F106" s="16">
        <v>0</v>
      </c>
      <c r="G106" s="16">
        <v>0</v>
      </c>
      <c r="H106" s="16">
        <v>396100000</v>
      </c>
      <c r="I106" s="16">
        <f>94000000+238952000+3500000</f>
        <v>336452000</v>
      </c>
      <c r="J106" s="16">
        <f t="shared" si="33"/>
        <v>59648000</v>
      </c>
      <c r="K106" s="16">
        <f t="shared" si="36"/>
        <v>2805263301</v>
      </c>
      <c r="L106" s="16">
        <v>2803574820</v>
      </c>
      <c r="M106" s="110">
        <f t="shared" si="35"/>
        <v>0.99939810248849081</v>
      </c>
      <c r="N106" s="145">
        <f>+K106-[1]Julio!D121</f>
        <v>59648000</v>
      </c>
    </row>
    <row r="107" spans="1:52" s="4" customFormat="1" ht="24.95" customHeight="1" x14ac:dyDescent="0.25">
      <c r="A107" s="111">
        <v>20411</v>
      </c>
      <c r="B107" s="108"/>
      <c r="C107" s="109" t="s">
        <v>81</v>
      </c>
      <c r="D107" s="16">
        <f>+D108+D109</f>
        <v>2164979191</v>
      </c>
      <c r="E107" s="16">
        <f t="shared" ref="E107:I107" si="46">+E108+E109</f>
        <v>0</v>
      </c>
      <c r="F107" s="16">
        <f t="shared" si="46"/>
        <v>0</v>
      </c>
      <c r="G107" s="16">
        <f t="shared" si="46"/>
        <v>0</v>
      </c>
      <c r="H107" s="16">
        <f t="shared" si="46"/>
        <v>251117672</v>
      </c>
      <c r="I107" s="16">
        <f t="shared" si="46"/>
        <v>375297700</v>
      </c>
      <c r="J107" s="16">
        <f t="shared" si="33"/>
        <v>-124180028</v>
      </c>
      <c r="K107" s="16">
        <f t="shared" si="36"/>
        <v>2040799163</v>
      </c>
      <c r="L107" s="16">
        <f t="shared" ref="L107" si="47">+L108+L109</f>
        <v>1988544854.5599999</v>
      </c>
      <c r="M107" s="110">
        <f t="shared" si="35"/>
        <v>0.97439517352448068</v>
      </c>
      <c r="N107" s="145">
        <f>+K107-[1]Julio!D122</f>
        <v>160819972</v>
      </c>
    </row>
    <row r="108" spans="1:52" s="4" customFormat="1" ht="36" customHeight="1" x14ac:dyDescent="0.25">
      <c r="A108" s="111">
        <v>204111</v>
      </c>
      <c r="B108" s="108">
        <v>20</v>
      </c>
      <c r="C108" s="109" t="s">
        <v>82</v>
      </c>
      <c r="D108" s="16">
        <v>151059492</v>
      </c>
      <c r="E108" s="16">
        <v>0</v>
      </c>
      <c r="F108" s="16">
        <v>0</v>
      </c>
      <c r="G108" s="16">
        <v>0</v>
      </c>
      <c r="H108" s="16">
        <v>0</v>
      </c>
      <c r="I108" s="16">
        <f>88000000+2297700</f>
        <v>90297700</v>
      </c>
      <c r="J108" s="16">
        <f t="shared" si="33"/>
        <v>-90297700</v>
      </c>
      <c r="K108" s="16">
        <f t="shared" si="36"/>
        <v>60761792</v>
      </c>
      <c r="L108" s="16">
        <v>51252634</v>
      </c>
      <c r="M108" s="110">
        <f t="shared" si="35"/>
        <v>0.84350102775112357</v>
      </c>
      <c r="N108" s="145">
        <f>+K108-[1]Julio!D123</f>
        <v>-90297700</v>
      </c>
    </row>
    <row r="109" spans="1:52" s="4" customFormat="1" ht="38.25" customHeight="1" x14ac:dyDescent="0.25">
      <c r="A109" s="111">
        <v>204112</v>
      </c>
      <c r="B109" s="108">
        <v>20</v>
      </c>
      <c r="C109" s="109" t="s">
        <v>83</v>
      </c>
      <c r="D109" s="16">
        <v>2013919699</v>
      </c>
      <c r="E109" s="16">
        <v>0</v>
      </c>
      <c r="F109" s="16">
        <v>0</v>
      </c>
      <c r="G109" s="16">
        <v>0</v>
      </c>
      <c r="H109" s="16">
        <f>122500000+76800000+17817672+34000000</f>
        <v>251117672</v>
      </c>
      <c r="I109" s="16">
        <v>285000000</v>
      </c>
      <c r="J109" s="16">
        <f t="shared" si="33"/>
        <v>-33882328</v>
      </c>
      <c r="K109" s="16">
        <f>D109+J109</f>
        <v>1980037371</v>
      </c>
      <c r="L109" s="16">
        <v>1937292220.5599999</v>
      </c>
      <c r="M109" s="110">
        <f t="shared" si="35"/>
        <v>0.97841194763995187</v>
      </c>
      <c r="N109" s="145">
        <f>+K109-[1]Julio!D124</f>
        <v>251117672</v>
      </c>
    </row>
    <row r="110" spans="1:52" s="4" customFormat="1" ht="24.95" customHeight="1" x14ac:dyDescent="0.25">
      <c r="A110" s="111">
        <v>20414</v>
      </c>
      <c r="B110" s="108">
        <v>20</v>
      </c>
      <c r="C110" s="109" t="s">
        <v>84</v>
      </c>
      <c r="D110" s="16">
        <v>20080035</v>
      </c>
      <c r="E110" s="16">
        <v>0</v>
      </c>
      <c r="F110" s="16">
        <v>0</v>
      </c>
      <c r="G110" s="16">
        <v>0</v>
      </c>
      <c r="H110" s="16">
        <f>3000000+2297700</f>
        <v>5297700</v>
      </c>
      <c r="I110" s="16">
        <v>0</v>
      </c>
      <c r="J110" s="16">
        <f t="shared" si="33"/>
        <v>5297700</v>
      </c>
      <c r="K110" s="114">
        <f>D110+J110</f>
        <v>25377735</v>
      </c>
      <c r="L110" s="16">
        <v>25373832.5</v>
      </c>
      <c r="M110" s="110">
        <f t="shared" si="35"/>
        <v>0.99984622347108598</v>
      </c>
      <c r="N110" s="145">
        <f>+K110-[1]Julio!D125</f>
        <v>5297700</v>
      </c>
    </row>
    <row r="111" spans="1:52" s="4" customFormat="1" ht="38.25" customHeight="1" x14ac:dyDescent="0.25">
      <c r="A111" s="111">
        <v>20421</v>
      </c>
      <c r="B111" s="108"/>
      <c r="C111" s="109" t="s">
        <v>85</v>
      </c>
      <c r="D111" s="16">
        <f>+D112+D113+D114</f>
        <v>623267448</v>
      </c>
      <c r="E111" s="16">
        <f t="shared" ref="E111:H111" si="48">+E112+E113+E114</f>
        <v>0</v>
      </c>
      <c r="F111" s="16">
        <f t="shared" si="48"/>
        <v>0</v>
      </c>
      <c r="G111" s="16">
        <f t="shared" si="48"/>
        <v>0</v>
      </c>
      <c r="H111" s="16">
        <f t="shared" si="48"/>
        <v>205000000</v>
      </c>
      <c r="I111" s="16">
        <f>+I112+I113+I114</f>
        <v>98000000</v>
      </c>
      <c r="J111" s="16">
        <f t="shared" si="33"/>
        <v>107000000</v>
      </c>
      <c r="K111" s="16">
        <f t="shared" si="36"/>
        <v>730267448</v>
      </c>
      <c r="L111" s="16">
        <f t="shared" ref="L111" si="49">+L112+L113+L114</f>
        <v>723041344</v>
      </c>
      <c r="M111" s="110">
        <f t="shared" si="35"/>
        <v>0.990104852653928</v>
      </c>
      <c r="N111" s="145">
        <f>+K111-[1]Julio!D126</f>
        <v>-43000000</v>
      </c>
    </row>
    <row r="112" spans="1:52" s="4" customFormat="1" ht="24.95" customHeight="1" x14ac:dyDescent="0.25">
      <c r="A112" s="111">
        <v>204213</v>
      </c>
      <c r="B112" s="108">
        <v>20</v>
      </c>
      <c r="C112" s="109" t="s">
        <v>139</v>
      </c>
      <c r="D112" s="16">
        <v>20170080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f t="shared" si="33"/>
        <v>0</v>
      </c>
      <c r="K112" s="16">
        <f t="shared" si="36"/>
        <v>20170080</v>
      </c>
      <c r="L112" s="16">
        <v>15060000</v>
      </c>
      <c r="M112" s="110">
        <f t="shared" si="35"/>
        <v>0.74665048428166869</v>
      </c>
      <c r="N112" s="145"/>
    </row>
    <row r="113" spans="1:14" s="4" customFormat="1" ht="24.95" customHeight="1" x14ac:dyDescent="0.25">
      <c r="A113" s="111">
        <v>204214</v>
      </c>
      <c r="B113" s="108">
        <v>20</v>
      </c>
      <c r="C113" s="109" t="s">
        <v>86</v>
      </c>
      <c r="D113" s="16">
        <v>452386080</v>
      </c>
      <c r="E113" s="16">
        <v>0</v>
      </c>
      <c r="F113" s="16">
        <v>0</v>
      </c>
      <c r="G113" s="16">
        <v>0</v>
      </c>
      <c r="H113" s="16">
        <f>100000000+50000000+5000000</f>
        <v>155000000</v>
      </c>
      <c r="I113" s="16">
        <v>0</v>
      </c>
      <c r="J113" s="16">
        <f t="shared" si="33"/>
        <v>155000000</v>
      </c>
      <c r="K113" s="114">
        <f t="shared" si="36"/>
        <v>607386080</v>
      </c>
      <c r="L113" s="16">
        <v>605501056</v>
      </c>
      <c r="M113" s="110">
        <f t="shared" si="35"/>
        <v>0.99689649785849554</v>
      </c>
      <c r="N113" s="145" t="e">
        <f>+K113-[1]Julio!D127</f>
        <v>#REF!</v>
      </c>
    </row>
    <row r="114" spans="1:14" s="4" customFormat="1" ht="24.95" customHeight="1" x14ac:dyDescent="0.25">
      <c r="A114" s="111">
        <v>204215</v>
      </c>
      <c r="B114" s="108">
        <v>20</v>
      </c>
      <c r="C114" s="109" t="s">
        <v>140</v>
      </c>
      <c r="D114" s="16">
        <v>150711288</v>
      </c>
      <c r="E114" s="16">
        <v>0</v>
      </c>
      <c r="F114" s="16">
        <v>0</v>
      </c>
      <c r="G114" s="16">
        <v>0</v>
      </c>
      <c r="H114" s="16">
        <v>50000000</v>
      </c>
      <c r="I114" s="16">
        <f>50000000+5000000+26000000+17000000</f>
        <v>98000000</v>
      </c>
      <c r="J114" s="16">
        <f t="shared" si="33"/>
        <v>-48000000</v>
      </c>
      <c r="K114" s="114">
        <f t="shared" si="36"/>
        <v>102711288</v>
      </c>
      <c r="L114" s="16">
        <v>102480288</v>
      </c>
      <c r="M114" s="110">
        <f t="shared" si="35"/>
        <v>0.99775097747776276</v>
      </c>
      <c r="N114" s="145">
        <f>+K114-[1]Julio!D128</f>
        <v>-499674792</v>
      </c>
    </row>
    <row r="115" spans="1:14" s="4" customFormat="1" ht="24.95" customHeight="1" x14ac:dyDescent="0.25">
      <c r="A115" s="111">
        <v>20422</v>
      </c>
      <c r="B115" s="108"/>
      <c r="C115" s="109" t="s">
        <v>141</v>
      </c>
      <c r="D115" s="16">
        <f>+D116</f>
        <v>510255</v>
      </c>
      <c r="E115" s="16">
        <f t="shared" ref="E115:I115" si="50">+E116</f>
        <v>0</v>
      </c>
      <c r="F115" s="16">
        <f t="shared" si="50"/>
        <v>0</v>
      </c>
      <c r="G115" s="16">
        <f t="shared" si="50"/>
        <v>0</v>
      </c>
      <c r="H115" s="16">
        <f t="shared" si="50"/>
        <v>0</v>
      </c>
      <c r="I115" s="16">
        <f t="shared" si="50"/>
        <v>500000</v>
      </c>
      <c r="J115" s="16">
        <f t="shared" si="33"/>
        <v>-500000</v>
      </c>
      <c r="K115" s="16">
        <f t="shared" si="36"/>
        <v>10255</v>
      </c>
      <c r="L115" s="16">
        <f t="shared" ref="L115" si="51">+L116</f>
        <v>0</v>
      </c>
      <c r="M115" s="110">
        <f t="shared" si="35"/>
        <v>0</v>
      </c>
      <c r="N115" s="145"/>
    </row>
    <row r="116" spans="1:14" s="4" customFormat="1" ht="24.95" customHeight="1" x14ac:dyDescent="0.25">
      <c r="A116" s="111">
        <v>204221</v>
      </c>
      <c r="B116" s="108">
        <v>20</v>
      </c>
      <c r="C116" s="109" t="s">
        <v>142</v>
      </c>
      <c r="D116" s="16">
        <v>510255</v>
      </c>
      <c r="E116" s="16">
        <v>0</v>
      </c>
      <c r="F116" s="16">
        <v>0</v>
      </c>
      <c r="G116" s="16">
        <v>0</v>
      </c>
      <c r="H116" s="16">
        <v>0</v>
      </c>
      <c r="I116" s="16">
        <v>500000</v>
      </c>
      <c r="J116" s="16">
        <f t="shared" si="33"/>
        <v>-500000</v>
      </c>
      <c r="K116" s="16">
        <f t="shared" si="36"/>
        <v>10255</v>
      </c>
      <c r="L116" s="16">
        <v>0</v>
      </c>
      <c r="M116" s="110">
        <f t="shared" si="35"/>
        <v>0</v>
      </c>
      <c r="N116" s="145"/>
    </row>
    <row r="117" spans="1:14" s="4" customFormat="1" ht="31.5" x14ac:dyDescent="0.25">
      <c r="A117" s="111">
        <v>20441</v>
      </c>
      <c r="B117" s="108"/>
      <c r="C117" s="109" t="s">
        <v>87</v>
      </c>
      <c r="D117" s="16">
        <f>+D118</f>
        <v>1140700937</v>
      </c>
      <c r="E117" s="16">
        <f t="shared" ref="E117:I117" si="52">+E118</f>
        <v>0</v>
      </c>
      <c r="F117" s="16">
        <f t="shared" si="52"/>
        <v>0</v>
      </c>
      <c r="G117" s="16">
        <f t="shared" si="52"/>
        <v>0</v>
      </c>
      <c r="H117" s="16">
        <f t="shared" si="52"/>
        <v>212000000</v>
      </c>
      <c r="I117" s="16">
        <f t="shared" si="52"/>
        <v>87000000</v>
      </c>
      <c r="J117" s="16">
        <f t="shared" si="33"/>
        <v>125000000</v>
      </c>
      <c r="K117" s="16">
        <f t="shared" si="36"/>
        <v>1265700937</v>
      </c>
      <c r="L117" s="16">
        <f t="shared" ref="L117" si="53">+L118</f>
        <v>1248274448</v>
      </c>
      <c r="M117" s="110">
        <f t="shared" si="35"/>
        <v>0.98623174836126393</v>
      </c>
      <c r="N117" s="145">
        <f>+K117-[1]Julio!D132</f>
        <v>125000000</v>
      </c>
    </row>
    <row r="118" spans="1:14" s="4" customFormat="1" ht="31.5" x14ac:dyDescent="0.25">
      <c r="A118" s="111">
        <v>2044113</v>
      </c>
      <c r="B118" s="108">
        <v>20</v>
      </c>
      <c r="C118" s="109" t="s">
        <v>87</v>
      </c>
      <c r="D118" s="16">
        <v>1140700937</v>
      </c>
      <c r="E118" s="16">
        <v>0</v>
      </c>
      <c r="F118" s="16">
        <v>0</v>
      </c>
      <c r="G118" s="16">
        <v>0</v>
      </c>
      <c r="H118" s="16">
        <f>105000000+92000000+5000000+10000000</f>
        <v>212000000</v>
      </c>
      <c r="I118" s="16">
        <v>87000000</v>
      </c>
      <c r="J118" s="16">
        <f t="shared" si="33"/>
        <v>125000000</v>
      </c>
      <c r="K118" s="16">
        <f t="shared" si="36"/>
        <v>1265700937</v>
      </c>
      <c r="L118" s="16">
        <v>1248274448</v>
      </c>
      <c r="M118" s="110">
        <f t="shared" si="35"/>
        <v>0.98623174836126393</v>
      </c>
      <c r="N118" s="145">
        <f>+K118-[1]Julio!D133</f>
        <v>125000000</v>
      </c>
    </row>
    <row r="119" spans="1:14" s="4" customFormat="1" ht="24.95" customHeight="1" x14ac:dyDescent="0.25">
      <c r="A119" s="111">
        <v>3</v>
      </c>
      <c r="B119" s="108"/>
      <c r="C119" s="109" t="s">
        <v>88</v>
      </c>
      <c r="D119" s="16">
        <f t="shared" ref="D119:I119" si="54">+D120+D124</f>
        <v>20385848816</v>
      </c>
      <c r="E119" s="16">
        <f t="shared" si="54"/>
        <v>0</v>
      </c>
      <c r="F119" s="16">
        <f t="shared" si="54"/>
        <v>0</v>
      </c>
      <c r="G119" s="16">
        <f t="shared" si="54"/>
        <v>0</v>
      </c>
      <c r="H119" s="16">
        <f t="shared" si="54"/>
        <v>3104700296</v>
      </c>
      <c r="I119" s="16">
        <f t="shared" si="54"/>
        <v>7978028980</v>
      </c>
      <c r="J119" s="16">
        <f t="shared" si="33"/>
        <v>-4873328684</v>
      </c>
      <c r="K119" s="16">
        <f>D119+J119</f>
        <v>15512520132</v>
      </c>
      <c r="L119" s="16">
        <f>+L120+L124</f>
        <v>15511800195.5</v>
      </c>
      <c r="M119" s="110">
        <f t="shared" si="35"/>
        <v>0.99995358997159234</v>
      </c>
      <c r="N119" s="145">
        <f>+K119-[1]Julio!D134</f>
        <v>-470279868</v>
      </c>
    </row>
    <row r="120" spans="1:14" s="4" customFormat="1" ht="24.95" customHeight="1" x14ac:dyDescent="0.25">
      <c r="A120" s="111">
        <v>32</v>
      </c>
      <c r="B120" s="108"/>
      <c r="C120" s="109" t="s">
        <v>89</v>
      </c>
      <c r="D120" s="16">
        <f>+D121</f>
        <v>7091800000</v>
      </c>
      <c r="E120" s="16">
        <f t="shared" ref="E120:I120" si="55">+E121</f>
        <v>0</v>
      </c>
      <c r="F120" s="16">
        <f t="shared" si="55"/>
        <v>0</v>
      </c>
      <c r="G120" s="16">
        <f t="shared" si="55"/>
        <v>0</v>
      </c>
      <c r="H120" s="16">
        <f t="shared" si="55"/>
        <v>0</v>
      </c>
      <c r="I120" s="16">
        <f t="shared" si="55"/>
        <v>3574980164</v>
      </c>
      <c r="J120" s="16">
        <f t="shared" si="33"/>
        <v>-3574980164</v>
      </c>
      <c r="K120" s="16">
        <f t="shared" si="36"/>
        <v>3516819836</v>
      </c>
      <c r="L120" s="16">
        <f t="shared" ref="L120" si="56">+L121</f>
        <v>3516819836</v>
      </c>
      <c r="M120" s="110">
        <f t="shared" si="35"/>
        <v>1</v>
      </c>
      <c r="N120" s="145">
        <f>+K120-[1]Julio!D135</f>
        <v>-3574980164</v>
      </c>
    </row>
    <row r="121" spans="1:14" s="4" customFormat="1" ht="24.95" customHeight="1" x14ac:dyDescent="0.25">
      <c r="A121" s="111">
        <v>321</v>
      </c>
      <c r="B121" s="108"/>
      <c r="C121" s="109" t="s">
        <v>90</v>
      </c>
      <c r="D121" s="16">
        <f>+D122+D123</f>
        <v>7091800000</v>
      </c>
      <c r="E121" s="16">
        <f t="shared" ref="E121:I121" si="57">+E122+E123</f>
        <v>0</v>
      </c>
      <c r="F121" s="16">
        <f t="shared" si="57"/>
        <v>0</v>
      </c>
      <c r="G121" s="16">
        <f t="shared" si="57"/>
        <v>0</v>
      </c>
      <c r="H121" s="16">
        <f t="shared" si="57"/>
        <v>0</v>
      </c>
      <c r="I121" s="16">
        <f t="shared" si="57"/>
        <v>3574980164</v>
      </c>
      <c r="J121" s="16">
        <f t="shared" si="33"/>
        <v>-3574980164</v>
      </c>
      <c r="K121" s="16">
        <f t="shared" si="36"/>
        <v>3516819836</v>
      </c>
      <c r="L121" s="16">
        <f>+L122+L123</f>
        <v>3516819836</v>
      </c>
      <c r="M121" s="110">
        <f t="shared" si="35"/>
        <v>1</v>
      </c>
      <c r="N121" s="145">
        <f>+K121-[1]Julio!D136</f>
        <v>-3574980164</v>
      </c>
    </row>
    <row r="122" spans="1:14" s="4" customFormat="1" ht="24.95" customHeight="1" x14ac:dyDescent="0.25">
      <c r="A122" s="111">
        <v>3211</v>
      </c>
      <c r="B122" s="108">
        <v>11</v>
      </c>
      <c r="C122" s="109" t="s">
        <v>91</v>
      </c>
      <c r="D122" s="16">
        <v>1416100000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f t="shared" si="33"/>
        <v>0</v>
      </c>
      <c r="K122" s="16">
        <f t="shared" si="36"/>
        <v>1416100000</v>
      </c>
      <c r="L122" s="16">
        <v>1416100000</v>
      </c>
      <c r="M122" s="110">
        <f t="shared" si="35"/>
        <v>1</v>
      </c>
      <c r="N122" s="145">
        <f>+K122-[1]Julio!D137</f>
        <v>-4259600000</v>
      </c>
    </row>
    <row r="123" spans="1:14" s="4" customFormat="1" ht="24.95" customHeight="1" x14ac:dyDescent="0.25">
      <c r="A123" s="111">
        <v>3211</v>
      </c>
      <c r="B123" s="108">
        <v>20</v>
      </c>
      <c r="C123" s="109" t="s">
        <v>91</v>
      </c>
      <c r="D123" s="16">
        <v>5675700000</v>
      </c>
      <c r="E123" s="16">
        <v>0</v>
      </c>
      <c r="F123" s="16">
        <v>0</v>
      </c>
      <c r="G123" s="16">
        <v>0</v>
      </c>
      <c r="H123" s="16">
        <v>0</v>
      </c>
      <c r="I123" s="16">
        <v>3574980164</v>
      </c>
      <c r="J123" s="16">
        <f t="shared" si="33"/>
        <v>-3574980164</v>
      </c>
      <c r="K123" s="16">
        <f t="shared" si="36"/>
        <v>2100719836</v>
      </c>
      <c r="L123" s="16">
        <v>2100719836</v>
      </c>
      <c r="M123" s="110">
        <f t="shared" si="35"/>
        <v>1</v>
      </c>
      <c r="N123" s="145">
        <f>+K123-[1]Julio!D137</f>
        <v>-3574980164</v>
      </c>
    </row>
    <row r="124" spans="1:14" s="4" customFormat="1" ht="24.95" customHeight="1" x14ac:dyDescent="0.25">
      <c r="A124" s="111">
        <v>36</v>
      </c>
      <c r="B124" s="108"/>
      <c r="C124" s="109" t="s">
        <v>92</v>
      </c>
      <c r="D124" s="16">
        <f t="shared" ref="D124:I124" si="58">+D125+D131</f>
        <v>13294048816</v>
      </c>
      <c r="E124" s="16">
        <f t="shared" si="58"/>
        <v>0</v>
      </c>
      <c r="F124" s="16">
        <f t="shared" si="58"/>
        <v>0</v>
      </c>
      <c r="G124" s="16">
        <f t="shared" si="58"/>
        <v>0</v>
      </c>
      <c r="H124" s="16">
        <f t="shared" si="58"/>
        <v>3104700296</v>
      </c>
      <c r="I124" s="16">
        <f t="shared" si="58"/>
        <v>4403048816</v>
      </c>
      <c r="J124" s="16">
        <f t="shared" si="33"/>
        <v>-1298348520</v>
      </c>
      <c r="K124" s="16">
        <f t="shared" si="36"/>
        <v>11995700296</v>
      </c>
      <c r="L124" s="16">
        <f>+L125+L131</f>
        <v>11994980359.5</v>
      </c>
      <c r="M124" s="110">
        <f t="shared" si="35"/>
        <v>0.99993998378733751</v>
      </c>
      <c r="N124" s="145">
        <f>+K124-[1]Julio!D139</f>
        <v>3104700296</v>
      </c>
    </row>
    <row r="125" spans="1:14" s="4" customFormat="1" ht="24.95" customHeight="1" x14ac:dyDescent="0.25">
      <c r="A125" s="111">
        <v>361</v>
      </c>
      <c r="B125" s="108"/>
      <c r="C125" s="109" t="s">
        <v>93</v>
      </c>
      <c r="D125" s="16">
        <f>SUM(D126:D130)</f>
        <v>8891000000</v>
      </c>
      <c r="E125" s="16">
        <f t="shared" ref="E125:I125" si="59">SUM(E126:E130)</f>
        <v>0</v>
      </c>
      <c r="F125" s="16">
        <f t="shared" si="59"/>
        <v>0</v>
      </c>
      <c r="G125" s="16">
        <f t="shared" si="59"/>
        <v>0</v>
      </c>
      <c r="H125" s="16">
        <f t="shared" si="59"/>
        <v>3104700296</v>
      </c>
      <c r="I125" s="16">
        <f t="shared" si="59"/>
        <v>0</v>
      </c>
      <c r="J125" s="16">
        <f t="shared" si="33"/>
        <v>3104700296</v>
      </c>
      <c r="K125" s="16">
        <f t="shared" si="36"/>
        <v>11995700296</v>
      </c>
      <c r="L125" s="16">
        <f>SUM(L126:L130)</f>
        <v>11994980359.5</v>
      </c>
      <c r="M125" s="110">
        <f t="shared" si="35"/>
        <v>0.99993998378733751</v>
      </c>
      <c r="N125" s="145">
        <f>+K125-[1]Agosto!D149</f>
        <v>3104700296</v>
      </c>
    </row>
    <row r="126" spans="1:14" s="4" customFormat="1" ht="24.95" customHeight="1" x14ac:dyDescent="0.25">
      <c r="A126" s="111">
        <v>3611</v>
      </c>
      <c r="B126" s="108">
        <v>13</v>
      </c>
      <c r="C126" s="109" t="s">
        <v>93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/>
      <c r="J126" s="16">
        <f t="shared" si="33"/>
        <v>0</v>
      </c>
      <c r="K126" s="16">
        <f t="shared" si="36"/>
        <v>0</v>
      </c>
      <c r="L126" s="16">
        <v>0</v>
      </c>
      <c r="M126" s="110" t="s">
        <v>156</v>
      </c>
      <c r="N126" s="145"/>
    </row>
    <row r="127" spans="1:14" s="4" customFormat="1" ht="24.95" customHeight="1" x14ac:dyDescent="0.25">
      <c r="A127" s="111">
        <v>3611</v>
      </c>
      <c r="B127" s="108">
        <v>10</v>
      </c>
      <c r="C127" s="109" t="s">
        <v>93</v>
      </c>
      <c r="D127" s="16">
        <v>8082816490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f t="shared" si="33"/>
        <v>0</v>
      </c>
      <c r="K127" s="16">
        <f t="shared" si="36"/>
        <v>8082816490</v>
      </c>
      <c r="L127" s="16">
        <v>8082816490</v>
      </c>
      <c r="M127" s="110">
        <f t="shared" si="35"/>
        <v>1</v>
      </c>
      <c r="N127" s="145"/>
    </row>
    <row r="128" spans="1:14" s="4" customFormat="1" ht="24.95" customHeight="1" x14ac:dyDescent="0.25">
      <c r="A128" s="111">
        <v>3611</v>
      </c>
      <c r="B128" s="108">
        <v>11</v>
      </c>
      <c r="C128" s="109" t="s">
        <v>93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f t="shared" si="33"/>
        <v>0</v>
      </c>
      <c r="K128" s="16">
        <f t="shared" si="36"/>
        <v>0</v>
      </c>
      <c r="L128" s="16">
        <v>0</v>
      </c>
      <c r="M128" s="110" t="s">
        <v>156</v>
      </c>
      <c r="N128" s="145"/>
    </row>
    <row r="129" spans="1:52" s="4" customFormat="1" ht="24.95" customHeight="1" x14ac:dyDescent="0.25">
      <c r="A129" s="111">
        <v>3611</v>
      </c>
      <c r="B129" s="108">
        <v>20</v>
      </c>
      <c r="C129" s="109" t="s">
        <v>93</v>
      </c>
      <c r="D129" s="16">
        <v>808183510</v>
      </c>
      <c r="E129" s="16">
        <v>0</v>
      </c>
      <c r="F129" s="16">
        <v>0</v>
      </c>
      <c r="G129" s="16">
        <v>0</v>
      </c>
      <c r="H129" s="16">
        <v>3104700296</v>
      </c>
      <c r="I129" s="16">
        <v>0</v>
      </c>
      <c r="J129" s="16">
        <f t="shared" si="33"/>
        <v>3104700296</v>
      </c>
      <c r="K129" s="16">
        <f t="shared" si="36"/>
        <v>3912883806</v>
      </c>
      <c r="L129" s="16">
        <v>3912163869.5</v>
      </c>
      <c r="M129" s="110">
        <f t="shared" si="35"/>
        <v>0.9998160087199891</v>
      </c>
      <c r="N129" s="145"/>
    </row>
    <row r="130" spans="1:52" s="4" customFormat="1" ht="24.95" customHeight="1" x14ac:dyDescent="0.25">
      <c r="A130" s="111">
        <v>3611</v>
      </c>
      <c r="B130" s="108">
        <v>21</v>
      </c>
      <c r="C130" s="109" t="s">
        <v>93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f t="shared" si="33"/>
        <v>0</v>
      </c>
      <c r="K130" s="16">
        <f t="shared" si="36"/>
        <v>0</v>
      </c>
      <c r="L130" s="16">
        <v>0</v>
      </c>
      <c r="M130" s="110" t="s">
        <v>155</v>
      </c>
      <c r="N130" s="145">
        <f>+K130-[1]Julio!D150</f>
        <v>-8082816490</v>
      </c>
    </row>
    <row r="131" spans="1:52" s="4" customFormat="1" ht="31.5" x14ac:dyDescent="0.25">
      <c r="A131" s="111">
        <v>363</v>
      </c>
      <c r="B131" s="108"/>
      <c r="C131" s="109" t="s">
        <v>94</v>
      </c>
      <c r="D131" s="16">
        <f>+D132</f>
        <v>4403048816</v>
      </c>
      <c r="E131" s="16">
        <f t="shared" ref="E131:I131" si="60">+E132</f>
        <v>0</v>
      </c>
      <c r="F131" s="16">
        <f t="shared" si="60"/>
        <v>0</v>
      </c>
      <c r="G131" s="16">
        <f t="shared" si="60"/>
        <v>0</v>
      </c>
      <c r="H131" s="16">
        <f t="shared" si="60"/>
        <v>0</v>
      </c>
      <c r="I131" s="16">
        <f t="shared" si="60"/>
        <v>4403048816</v>
      </c>
      <c r="J131" s="16">
        <f t="shared" si="33"/>
        <v>-4403048816</v>
      </c>
      <c r="K131" s="16">
        <f t="shared" si="36"/>
        <v>0</v>
      </c>
      <c r="L131" s="16">
        <f t="shared" ref="L131" si="61">+L132</f>
        <v>0</v>
      </c>
      <c r="M131" s="110" t="s">
        <v>155</v>
      </c>
      <c r="N131" s="145"/>
    </row>
    <row r="132" spans="1:52" s="4" customFormat="1" ht="45.75" customHeight="1" thickBot="1" x14ac:dyDescent="0.3">
      <c r="A132" s="116">
        <v>36326</v>
      </c>
      <c r="B132" s="117">
        <v>20</v>
      </c>
      <c r="C132" s="151" t="s">
        <v>95</v>
      </c>
      <c r="D132" s="141">
        <v>4403048816</v>
      </c>
      <c r="E132" s="141">
        <v>0</v>
      </c>
      <c r="F132" s="141">
        <v>0</v>
      </c>
      <c r="G132" s="141">
        <v>0</v>
      </c>
      <c r="H132" s="141">
        <v>0</v>
      </c>
      <c r="I132" s="141">
        <f>2258934000+2144114816</f>
        <v>4403048816</v>
      </c>
      <c r="J132" s="141">
        <f t="shared" si="33"/>
        <v>-4403048816</v>
      </c>
      <c r="K132" s="141">
        <f t="shared" si="36"/>
        <v>0</v>
      </c>
      <c r="L132" s="141">
        <v>0</v>
      </c>
      <c r="M132" s="152" t="s">
        <v>174</v>
      </c>
      <c r="N132" s="145"/>
    </row>
    <row r="133" spans="1:52" s="4" customFormat="1" ht="24.95" customHeight="1" thickBot="1" x14ac:dyDescent="0.3">
      <c r="A133" s="89" t="s">
        <v>96</v>
      </c>
      <c r="B133" s="90"/>
      <c r="C133" s="119" t="s">
        <v>97</v>
      </c>
      <c r="D133" s="143">
        <f>+D134</f>
        <v>173908000000</v>
      </c>
      <c r="E133" s="143">
        <f t="shared" ref="E133:I134" si="62">+E134</f>
        <v>0</v>
      </c>
      <c r="F133" s="143">
        <f t="shared" si="62"/>
        <v>0</v>
      </c>
      <c r="G133" s="143">
        <f t="shared" si="62"/>
        <v>0</v>
      </c>
      <c r="H133" s="143">
        <f t="shared" si="62"/>
        <v>0</v>
      </c>
      <c r="I133" s="143">
        <f t="shared" si="62"/>
        <v>0</v>
      </c>
      <c r="J133" s="93">
        <f t="shared" si="33"/>
        <v>0</v>
      </c>
      <c r="K133" s="143">
        <f t="shared" si="36"/>
        <v>173908000000</v>
      </c>
      <c r="L133" s="143">
        <f t="shared" ref="L133:L134" si="63">+L134</f>
        <v>173908000000</v>
      </c>
      <c r="M133" s="144">
        <f t="shared" si="35"/>
        <v>1</v>
      </c>
      <c r="N133" s="145">
        <f>+K133-[1]Julio!D154</f>
        <v>0</v>
      </c>
    </row>
    <row r="134" spans="1:52" s="4" customFormat="1" ht="24.95" customHeight="1" x14ac:dyDescent="0.25">
      <c r="A134" s="128">
        <v>7</v>
      </c>
      <c r="B134" s="129"/>
      <c r="C134" s="130" t="s">
        <v>97</v>
      </c>
      <c r="D134" s="132">
        <f>+D135</f>
        <v>173908000000</v>
      </c>
      <c r="E134" s="132">
        <f t="shared" si="62"/>
        <v>0</v>
      </c>
      <c r="F134" s="132">
        <f t="shared" si="62"/>
        <v>0</v>
      </c>
      <c r="G134" s="132">
        <f t="shared" si="62"/>
        <v>0</v>
      </c>
      <c r="H134" s="132">
        <f t="shared" si="62"/>
        <v>0</v>
      </c>
      <c r="I134" s="132">
        <f t="shared" si="62"/>
        <v>0</v>
      </c>
      <c r="J134" s="132">
        <f t="shared" si="33"/>
        <v>0</v>
      </c>
      <c r="K134" s="132">
        <f t="shared" si="36"/>
        <v>173908000000</v>
      </c>
      <c r="L134" s="132">
        <f t="shared" si="63"/>
        <v>173908000000</v>
      </c>
      <c r="M134" s="133">
        <f t="shared" si="35"/>
        <v>1</v>
      </c>
      <c r="N134" s="145">
        <f>+K134-[1]Julio!D155</f>
        <v>0</v>
      </c>
    </row>
    <row r="135" spans="1:52" s="4" customFormat="1" ht="24.95" customHeight="1" x14ac:dyDescent="0.25">
      <c r="A135" s="111">
        <v>71</v>
      </c>
      <c r="B135" s="108"/>
      <c r="C135" s="109" t="s">
        <v>98</v>
      </c>
      <c r="D135" s="16">
        <f>+D136+D137</f>
        <v>173908000000</v>
      </c>
      <c r="E135" s="16">
        <f t="shared" ref="E135:I135" si="64">+E136+E137</f>
        <v>0</v>
      </c>
      <c r="F135" s="16">
        <f t="shared" si="64"/>
        <v>0</v>
      </c>
      <c r="G135" s="16">
        <f t="shared" si="64"/>
        <v>0</v>
      </c>
      <c r="H135" s="16">
        <f t="shared" si="64"/>
        <v>0</v>
      </c>
      <c r="I135" s="16">
        <f t="shared" si="64"/>
        <v>0</v>
      </c>
      <c r="J135" s="16">
        <f t="shared" si="33"/>
        <v>0</v>
      </c>
      <c r="K135" s="16">
        <f t="shared" si="36"/>
        <v>173908000000</v>
      </c>
      <c r="L135" s="16">
        <f>+L136+L137</f>
        <v>173908000000</v>
      </c>
      <c r="M135" s="110">
        <f t="shared" si="35"/>
        <v>1</v>
      </c>
      <c r="N135" s="145">
        <f>+K135-[1]Julio!D156</f>
        <v>0</v>
      </c>
    </row>
    <row r="136" spans="1:52" s="4" customFormat="1" ht="24.95" customHeight="1" x14ac:dyDescent="0.25">
      <c r="A136" s="116">
        <v>711</v>
      </c>
      <c r="B136" s="117">
        <v>10</v>
      </c>
      <c r="C136" s="118" t="s">
        <v>99</v>
      </c>
      <c r="D136" s="16">
        <v>72111000000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f t="shared" si="33"/>
        <v>0</v>
      </c>
      <c r="K136" s="16">
        <f t="shared" si="36"/>
        <v>72111000000</v>
      </c>
      <c r="L136" s="16">
        <v>72111000000</v>
      </c>
      <c r="M136" s="110">
        <f t="shared" si="35"/>
        <v>1</v>
      </c>
      <c r="N136" s="145"/>
    </row>
    <row r="137" spans="1:52" s="4" customFormat="1" ht="24.95" customHeight="1" thickBot="1" x14ac:dyDescent="0.3">
      <c r="A137" s="116">
        <v>711</v>
      </c>
      <c r="B137" s="117">
        <v>11</v>
      </c>
      <c r="C137" s="118" t="s">
        <v>99</v>
      </c>
      <c r="D137" s="16">
        <v>101797000000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f t="shared" si="33"/>
        <v>0</v>
      </c>
      <c r="K137" s="16">
        <f t="shared" si="36"/>
        <v>101797000000</v>
      </c>
      <c r="L137" s="16">
        <v>101797000000</v>
      </c>
      <c r="M137" s="110">
        <f t="shared" si="35"/>
        <v>1</v>
      </c>
      <c r="N137" s="145">
        <f>+K137-[1]Julio!D158</f>
        <v>0</v>
      </c>
    </row>
    <row r="138" spans="1:52" s="4" customFormat="1" ht="24.95" customHeight="1" thickBot="1" x14ac:dyDescent="0.3">
      <c r="A138" s="89" t="s">
        <v>100</v>
      </c>
      <c r="B138" s="90"/>
      <c r="C138" s="119" t="s">
        <v>101</v>
      </c>
      <c r="D138" s="126">
        <f t="shared" ref="D138:K138" si="65">+D139+D161+D164+D174+D159</f>
        <v>2236421163061</v>
      </c>
      <c r="E138" s="126">
        <f t="shared" si="65"/>
        <v>0</v>
      </c>
      <c r="F138" s="126">
        <f t="shared" si="65"/>
        <v>192803050349</v>
      </c>
      <c r="G138" s="126">
        <f t="shared" si="65"/>
        <v>0</v>
      </c>
      <c r="H138" s="126">
        <f>+H139+H161+H164+H174+H159</f>
        <v>161534849651</v>
      </c>
      <c r="I138" s="126">
        <f t="shared" si="65"/>
        <v>161534849651</v>
      </c>
      <c r="J138" s="126">
        <f t="shared" si="33"/>
        <v>-192803050349</v>
      </c>
      <c r="K138" s="126">
        <f t="shared" si="65"/>
        <v>2043618112712</v>
      </c>
      <c r="L138" s="126">
        <f>+L139+L161+L164+L172+L174</f>
        <v>2031721884154</v>
      </c>
      <c r="M138" s="127">
        <f t="shared" si="35"/>
        <v>0.99417883973331345</v>
      </c>
      <c r="N138" s="145">
        <f>+K138-[1]Julio!D159</f>
        <v>-192803050349</v>
      </c>
      <c r="O138" s="145"/>
      <c r="P138" s="145"/>
    </row>
    <row r="139" spans="1:52" s="4" customFormat="1" ht="48" customHeight="1" x14ac:dyDescent="0.25">
      <c r="A139" s="128">
        <v>113</v>
      </c>
      <c r="B139" s="129"/>
      <c r="C139" s="130" t="s">
        <v>102</v>
      </c>
      <c r="D139" s="16">
        <f>+D140+D153+D156+D159</f>
        <v>2047574329819</v>
      </c>
      <c r="E139" s="16">
        <f>+E140+E153+E156</f>
        <v>0</v>
      </c>
      <c r="F139" s="16">
        <f>+F140+F153+F156</f>
        <v>192803050349</v>
      </c>
      <c r="G139" s="16">
        <f>+G140+G153+G156</f>
        <v>0</v>
      </c>
      <c r="H139" s="16">
        <f>+H140+H153+H156+H159</f>
        <v>157534849651</v>
      </c>
      <c r="I139" s="16">
        <f>+I140+I153+I156</f>
        <v>157534849651</v>
      </c>
      <c r="J139" s="16">
        <f t="shared" ref="J139:J179" si="66">E139-F139-G139+H139-I139</f>
        <v>-192803050349</v>
      </c>
      <c r="K139" s="16">
        <f t="shared" si="36"/>
        <v>1854771279470</v>
      </c>
      <c r="L139" s="16">
        <f>+L140+L153+L156+L159</f>
        <v>1847236335959</v>
      </c>
      <c r="M139" s="110">
        <f t="shared" si="35"/>
        <v>0.9959375349433095</v>
      </c>
      <c r="N139" s="145">
        <f>+K139-[1]Julio!D160</f>
        <v>-192803050349</v>
      </c>
      <c r="O139" s="146"/>
      <c r="P139" s="146"/>
      <c r="AZ139" s="146"/>
    </row>
    <row r="140" spans="1:52" s="4" customFormat="1" ht="24" customHeight="1" x14ac:dyDescent="0.25">
      <c r="A140" s="111">
        <v>113600</v>
      </c>
      <c r="B140" s="108"/>
      <c r="C140" s="109" t="s">
        <v>103</v>
      </c>
      <c r="D140" s="16">
        <f>SUM(D141:D152)</f>
        <v>1514778200000</v>
      </c>
      <c r="E140" s="16">
        <f t="shared" ref="E140:G140" si="67">SUM(E141:E152)</f>
        <v>0</v>
      </c>
      <c r="F140" s="16">
        <f t="shared" si="67"/>
        <v>192803050349</v>
      </c>
      <c r="G140" s="16">
        <f t="shared" si="67"/>
        <v>0</v>
      </c>
      <c r="H140" s="16">
        <f>SUM(H141:H152)</f>
        <v>157534849651</v>
      </c>
      <c r="I140" s="16">
        <f>SUM(I141:I152)</f>
        <v>157534849651</v>
      </c>
      <c r="J140" s="16">
        <f t="shared" si="66"/>
        <v>-192803050349</v>
      </c>
      <c r="K140" s="16">
        <f t="shared" si="36"/>
        <v>1321975149651</v>
      </c>
      <c r="L140" s="16">
        <f>SUM(L141:L152)</f>
        <v>1317575140057</v>
      </c>
      <c r="M140" s="110">
        <f t="shared" si="35"/>
        <v>0.99667163970883899</v>
      </c>
      <c r="N140" s="145">
        <f>+K140-[1]Julio!D161</f>
        <v>-192803050349</v>
      </c>
      <c r="O140" s="146"/>
    </row>
    <row r="141" spans="1:52" s="149" customFormat="1" ht="72" customHeight="1" x14ac:dyDescent="0.25">
      <c r="A141" s="120">
        <v>113600129</v>
      </c>
      <c r="B141" s="121">
        <v>11</v>
      </c>
      <c r="C141" s="115" t="s">
        <v>166</v>
      </c>
      <c r="D141" s="16">
        <v>132417500000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f t="shared" si="66"/>
        <v>0</v>
      </c>
      <c r="K141" s="16">
        <f t="shared" si="36"/>
        <v>132417500000</v>
      </c>
      <c r="L141" s="16">
        <v>132417495926</v>
      </c>
      <c r="M141" s="110">
        <f t="shared" si="35"/>
        <v>0.99999996923367385</v>
      </c>
      <c r="N141" s="147"/>
      <c r="O141" s="148"/>
    </row>
    <row r="142" spans="1:52" s="149" customFormat="1" ht="41.25" customHeight="1" x14ac:dyDescent="0.25">
      <c r="A142" s="120">
        <v>113600130</v>
      </c>
      <c r="B142" s="121">
        <v>11</v>
      </c>
      <c r="C142" s="115" t="s">
        <v>167</v>
      </c>
      <c r="D142" s="16">
        <v>231000000000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f t="shared" si="66"/>
        <v>0</v>
      </c>
      <c r="K142" s="16">
        <f t="shared" si="36"/>
        <v>231000000000</v>
      </c>
      <c r="L142" s="16">
        <v>231000000000</v>
      </c>
      <c r="M142" s="110">
        <f t="shared" si="35"/>
        <v>1</v>
      </c>
      <c r="N142" s="147"/>
      <c r="O142" s="148"/>
    </row>
    <row r="143" spans="1:52" s="149" customFormat="1" ht="39.75" customHeight="1" x14ac:dyDescent="0.25">
      <c r="A143" s="120">
        <v>113600131</v>
      </c>
      <c r="B143" s="121">
        <v>11</v>
      </c>
      <c r="C143" s="115" t="s">
        <v>168</v>
      </c>
      <c r="D143" s="16">
        <v>16765100000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f t="shared" si="66"/>
        <v>0</v>
      </c>
      <c r="K143" s="16">
        <f t="shared" si="36"/>
        <v>16765100000</v>
      </c>
      <c r="L143" s="16">
        <v>16765094480</v>
      </c>
      <c r="M143" s="110">
        <f t="shared" si="35"/>
        <v>0.99999967074458251</v>
      </c>
      <c r="N143" s="147"/>
      <c r="O143" s="148"/>
    </row>
    <row r="144" spans="1:52" s="149" customFormat="1" ht="56.25" customHeight="1" x14ac:dyDescent="0.25">
      <c r="A144" s="120">
        <v>113600132</v>
      </c>
      <c r="B144" s="121">
        <v>11</v>
      </c>
      <c r="C144" s="115" t="s">
        <v>169</v>
      </c>
      <c r="D144" s="16">
        <v>60000000000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f t="shared" si="66"/>
        <v>0</v>
      </c>
      <c r="K144" s="16">
        <f t="shared" si="36"/>
        <v>60000000000</v>
      </c>
      <c r="L144" s="16">
        <v>60000000000</v>
      </c>
      <c r="M144" s="110">
        <f t="shared" si="35"/>
        <v>1</v>
      </c>
      <c r="N144" s="147"/>
      <c r="O144" s="148"/>
    </row>
    <row r="145" spans="1:16" s="149" customFormat="1" ht="51.75" customHeight="1" x14ac:dyDescent="0.25">
      <c r="A145" s="120">
        <v>113600134</v>
      </c>
      <c r="B145" s="121">
        <v>20</v>
      </c>
      <c r="C145" s="115" t="s">
        <v>175</v>
      </c>
      <c r="D145" s="16">
        <v>29419600000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f t="shared" si="66"/>
        <v>0</v>
      </c>
      <c r="K145" s="16">
        <f t="shared" si="36"/>
        <v>29419600000</v>
      </c>
      <c r="L145" s="16">
        <v>29419600000</v>
      </c>
      <c r="M145" s="110">
        <f t="shared" si="35"/>
        <v>1</v>
      </c>
      <c r="N145" s="147"/>
      <c r="O145" s="148"/>
    </row>
    <row r="146" spans="1:16" s="149" customFormat="1" ht="53.25" customHeight="1" x14ac:dyDescent="0.25">
      <c r="A146" s="120">
        <v>113600135</v>
      </c>
      <c r="B146" s="121">
        <v>11</v>
      </c>
      <c r="C146" s="115" t="s">
        <v>176</v>
      </c>
      <c r="D146" s="16">
        <v>354737900000</v>
      </c>
      <c r="E146" s="16">
        <v>0</v>
      </c>
      <c r="F146" s="16">
        <v>192803050349</v>
      </c>
      <c r="G146" s="16">
        <v>0</v>
      </c>
      <c r="H146" s="16">
        <v>0</v>
      </c>
      <c r="I146" s="16">
        <f>104737900000+52796949651</f>
        <v>157534849651</v>
      </c>
      <c r="J146" s="16">
        <f t="shared" si="66"/>
        <v>-350337900000</v>
      </c>
      <c r="K146" s="16">
        <f t="shared" si="36"/>
        <v>4400000000</v>
      </c>
      <c r="L146" s="16">
        <v>0</v>
      </c>
      <c r="M146" s="110">
        <f t="shared" si="35"/>
        <v>0</v>
      </c>
      <c r="N146" s="147"/>
      <c r="O146" s="148"/>
    </row>
    <row r="147" spans="1:16" s="149" customFormat="1" ht="60.75" customHeight="1" x14ac:dyDescent="0.25">
      <c r="A147" s="120">
        <v>113600136</v>
      </c>
      <c r="B147" s="121">
        <v>11</v>
      </c>
      <c r="C147" s="115" t="s">
        <v>177</v>
      </c>
      <c r="D147" s="16">
        <v>674297100000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f t="shared" si="66"/>
        <v>0</v>
      </c>
      <c r="K147" s="16">
        <f t="shared" si="36"/>
        <v>674297100000</v>
      </c>
      <c r="L147" s="16">
        <v>674297100000</v>
      </c>
      <c r="M147" s="110">
        <f t="shared" si="35"/>
        <v>1</v>
      </c>
      <c r="N147" s="147"/>
      <c r="O147" s="148"/>
    </row>
    <row r="148" spans="1:16" s="149" customFormat="1" ht="66" customHeight="1" x14ac:dyDescent="0.25">
      <c r="A148" s="120">
        <v>113600138</v>
      </c>
      <c r="B148" s="121">
        <v>11</v>
      </c>
      <c r="C148" s="115" t="s">
        <v>178</v>
      </c>
      <c r="D148" s="16">
        <v>16141000000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f t="shared" si="66"/>
        <v>0</v>
      </c>
      <c r="K148" s="16">
        <f t="shared" si="36"/>
        <v>16141000000</v>
      </c>
      <c r="L148" s="16">
        <f t="shared" si="36"/>
        <v>16141000000</v>
      </c>
      <c r="M148" s="110">
        <f t="shared" si="35"/>
        <v>1</v>
      </c>
      <c r="N148" s="147"/>
      <c r="O148" s="148"/>
    </row>
    <row r="149" spans="1:16" s="149" customFormat="1" ht="112.5" customHeight="1" x14ac:dyDescent="0.25">
      <c r="A149" s="120">
        <v>113600143</v>
      </c>
      <c r="B149" s="121">
        <v>11</v>
      </c>
      <c r="C149" s="115" t="s">
        <v>189</v>
      </c>
      <c r="D149" s="115">
        <v>0</v>
      </c>
      <c r="E149" s="16">
        <v>0</v>
      </c>
      <c r="F149" s="16">
        <v>0</v>
      </c>
      <c r="G149" s="16">
        <v>0</v>
      </c>
      <c r="H149" s="16">
        <v>104737900000</v>
      </c>
      <c r="I149" s="115">
        <v>0</v>
      </c>
      <c r="J149" s="16">
        <f t="shared" si="66"/>
        <v>104737900000</v>
      </c>
      <c r="K149" s="16">
        <f t="shared" si="36"/>
        <v>104737900000</v>
      </c>
      <c r="L149" s="16">
        <v>104737900000</v>
      </c>
      <c r="M149" s="110">
        <f t="shared" si="35"/>
        <v>1</v>
      </c>
      <c r="N149" s="147"/>
      <c r="O149" s="148"/>
    </row>
    <row r="150" spans="1:16" s="149" customFormat="1" ht="107.25" customHeight="1" x14ac:dyDescent="0.25">
      <c r="A150" s="120">
        <v>113600143</v>
      </c>
      <c r="B150" s="121">
        <v>20</v>
      </c>
      <c r="C150" s="115" t="s">
        <v>189</v>
      </c>
      <c r="D150" s="115">
        <v>0</v>
      </c>
      <c r="E150" s="16">
        <v>0</v>
      </c>
      <c r="F150" s="16">
        <v>0</v>
      </c>
      <c r="G150" s="16">
        <v>0</v>
      </c>
      <c r="H150" s="16">
        <v>0</v>
      </c>
      <c r="I150" s="115">
        <v>0</v>
      </c>
      <c r="J150" s="16">
        <f t="shared" si="66"/>
        <v>0</v>
      </c>
      <c r="K150" s="16">
        <f t="shared" si="36"/>
        <v>0</v>
      </c>
      <c r="L150" s="16">
        <v>0</v>
      </c>
      <c r="M150" s="110" t="s">
        <v>156</v>
      </c>
      <c r="N150" s="147"/>
      <c r="O150" s="148"/>
    </row>
    <row r="151" spans="1:16" s="149" customFormat="1" ht="64.5" customHeight="1" x14ac:dyDescent="0.25">
      <c r="A151" s="120">
        <v>113600144</v>
      </c>
      <c r="B151" s="121">
        <v>11</v>
      </c>
      <c r="C151" s="115" t="s">
        <v>190</v>
      </c>
      <c r="D151" s="115">
        <v>0</v>
      </c>
      <c r="E151" s="16">
        <v>0</v>
      </c>
      <c r="F151" s="16">
        <v>0</v>
      </c>
      <c r="G151" s="16">
        <v>0</v>
      </c>
      <c r="H151" s="16">
        <v>32796949651</v>
      </c>
      <c r="I151" s="115">
        <v>0</v>
      </c>
      <c r="J151" s="16">
        <f t="shared" si="66"/>
        <v>32796949651</v>
      </c>
      <c r="K151" s="16">
        <f t="shared" si="36"/>
        <v>32796949651</v>
      </c>
      <c r="L151" s="16">
        <v>32796949651</v>
      </c>
      <c r="M151" s="110">
        <f t="shared" si="35"/>
        <v>1</v>
      </c>
      <c r="N151" s="147"/>
      <c r="O151" s="148"/>
    </row>
    <row r="152" spans="1:16" s="149" customFormat="1" ht="72.75" customHeight="1" x14ac:dyDescent="0.25">
      <c r="A152" s="120">
        <v>113600145</v>
      </c>
      <c r="B152" s="121">
        <v>11</v>
      </c>
      <c r="C152" s="115" t="s">
        <v>191</v>
      </c>
      <c r="D152" s="115">
        <v>0</v>
      </c>
      <c r="E152" s="16">
        <v>0</v>
      </c>
      <c r="F152" s="16">
        <v>0</v>
      </c>
      <c r="G152" s="16">
        <v>0</v>
      </c>
      <c r="H152" s="16">
        <v>20000000000</v>
      </c>
      <c r="I152" s="115">
        <v>0</v>
      </c>
      <c r="J152" s="16">
        <f t="shared" si="66"/>
        <v>20000000000</v>
      </c>
      <c r="K152" s="16">
        <f t="shared" si="36"/>
        <v>20000000000</v>
      </c>
      <c r="L152" s="16">
        <v>20000000000</v>
      </c>
      <c r="M152" s="110">
        <f t="shared" si="35"/>
        <v>1</v>
      </c>
      <c r="N152" s="147"/>
      <c r="O152" s="148"/>
    </row>
    <row r="153" spans="1:16" s="4" customFormat="1" ht="15.75" x14ac:dyDescent="0.25">
      <c r="A153" s="111">
        <v>113601</v>
      </c>
      <c r="B153" s="108"/>
      <c r="C153" s="115" t="s">
        <v>179</v>
      </c>
      <c r="D153" s="16">
        <f t="shared" ref="D153:I153" si="68">SUM(D154:D155)</f>
        <v>402459000000</v>
      </c>
      <c r="E153" s="16">
        <f t="shared" si="68"/>
        <v>0</v>
      </c>
      <c r="F153" s="16">
        <f t="shared" si="68"/>
        <v>0</v>
      </c>
      <c r="G153" s="16">
        <f t="shared" si="68"/>
        <v>0</v>
      </c>
      <c r="H153" s="16">
        <f t="shared" si="68"/>
        <v>0</v>
      </c>
      <c r="I153" s="16">
        <f t="shared" si="68"/>
        <v>0</v>
      </c>
      <c r="J153" s="16">
        <f t="shared" si="66"/>
        <v>0</v>
      </c>
      <c r="K153" s="16">
        <f t="shared" si="36"/>
        <v>402459000000</v>
      </c>
      <c r="L153" s="16">
        <f>SUM(L154:L155)</f>
        <v>402459000000</v>
      </c>
      <c r="M153" s="110">
        <f t="shared" si="35"/>
        <v>1</v>
      </c>
      <c r="N153" s="145"/>
      <c r="O153" s="146"/>
    </row>
    <row r="154" spans="1:16" s="4" customFormat="1" ht="31.5" x14ac:dyDescent="0.25">
      <c r="A154" s="111">
        <v>1136013</v>
      </c>
      <c r="B154" s="108">
        <v>21</v>
      </c>
      <c r="C154" s="109" t="s">
        <v>104</v>
      </c>
      <c r="D154" s="16">
        <v>30120000000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f t="shared" si="66"/>
        <v>0</v>
      </c>
      <c r="K154" s="16">
        <f t="shared" si="36"/>
        <v>30120000000</v>
      </c>
      <c r="L154" s="16">
        <f t="shared" si="36"/>
        <v>30120000000</v>
      </c>
      <c r="M154" s="110">
        <f t="shared" si="35"/>
        <v>1</v>
      </c>
      <c r="N154" s="145"/>
      <c r="O154" s="146"/>
    </row>
    <row r="155" spans="1:16" s="4" customFormat="1" ht="44.25" customHeight="1" x14ac:dyDescent="0.25">
      <c r="A155" s="111">
        <v>1136013</v>
      </c>
      <c r="B155" s="108">
        <v>11</v>
      </c>
      <c r="C155" s="109" t="s">
        <v>104</v>
      </c>
      <c r="D155" s="16">
        <v>372339000000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f t="shared" si="66"/>
        <v>0</v>
      </c>
      <c r="K155" s="16">
        <f t="shared" si="36"/>
        <v>372339000000</v>
      </c>
      <c r="L155" s="16">
        <f t="shared" si="36"/>
        <v>372339000000</v>
      </c>
      <c r="M155" s="110">
        <f t="shared" si="35"/>
        <v>1</v>
      </c>
      <c r="N155" s="145">
        <f>+K155-[1]Julio!D162</f>
        <v>239921500000</v>
      </c>
      <c r="P155" s="146"/>
    </row>
    <row r="156" spans="1:16" s="4" customFormat="1" ht="31.5" customHeight="1" x14ac:dyDescent="0.25">
      <c r="A156" s="111">
        <v>113605</v>
      </c>
      <c r="B156" s="108"/>
      <c r="C156" s="109" t="s">
        <v>105</v>
      </c>
      <c r="D156" s="16">
        <f t="shared" ref="D156:I156" si="69">SUM(D157:D158)</f>
        <v>125337129819</v>
      </c>
      <c r="E156" s="16">
        <f t="shared" si="69"/>
        <v>0</v>
      </c>
      <c r="F156" s="16">
        <f t="shared" si="69"/>
        <v>0</v>
      </c>
      <c r="G156" s="16">
        <f t="shared" si="69"/>
        <v>0</v>
      </c>
      <c r="H156" s="16">
        <f t="shared" si="69"/>
        <v>0</v>
      </c>
      <c r="I156" s="16">
        <f t="shared" si="69"/>
        <v>0</v>
      </c>
      <c r="J156" s="16">
        <f t="shared" si="66"/>
        <v>0</v>
      </c>
      <c r="K156" s="16">
        <f t="shared" si="36"/>
        <v>125337129819</v>
      </c>
      <c r="L156" s="16">
        <f>SUM(L157:L158)</f>
        <v>125324233076</v>
      </c>
      <c r="M156" s="110">
        <f t="shared" si="35"/>
        <v>0.99989710357163419</v>
      </c>
      <c r="N156" s="145"/>
      <c r="P156" s="146"/>
    </row>
    <row r="157" spans="1:16" s="4" customFormat="1" ht="57" customHeight="1" x14ac:dyDescent="0.25">
      <c r="A157" s="111">
        <v>1136057</v>
      </c>
      <c r="B157" s="108">
        <v>20</v>
      </c>
      <c r="C157" s="109" t="s">
        <v>106</v>
      </c>
      <c r="D157" s="16">
        <v>26511206159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f t="shared" si="66"/>
        <v>0</v>
      </c>
      <c r="K157" s="16">
        <f t="shared" si="36"/>
        <v>26511206159</v>
      </c>
      <c r="L157" s="16">
        <v>26498309419</v>
      </c>
      <c r="M157" s="110">
        <f t="shared" ref="M157:M179" si="70">+L157/K157</f>
        <v>0.99951353627886064</v>
      </c>
      <c r="N157" s="145"/>
      <c r="P157" s="146"/>
    </row>
    <row r="158" spans="1:16" s="4" customFormat="1" ht="61.5" customHeight="1" x14ac:dyDescent="0.25">
      <c r="A158" s="111">
        <v>1136057</v>
      </c>
      <c r="B158" s="108">
        <v>21</v>
      </c>
      <c r="C158" s="109" t="s">
        <v>106</v>
      </c>
      <c r="D158" s="16">
        <v>98825923660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f t="shared" si="66"/>
        <v>0</v>
      </c>
      <c r="K158" s="16">
        <f t="shared" si="36"/>
        <v>98825923660</v>
      </c>
      <c r="L158" s="16">
        <v>98825923657</v>
      </c>
      <c r="M158" s="110">
        <f t="shared" si="70"/>
        <v>0.99999999996964362</v>
      </c>
      <c r="N158" s="145"/>
      <c r="P158" s="146"/>
    </row>
    <row r="159" spans="1:16" s="4" customFormat="1" ht="25.5" customHeight="1" x14ac:dyDescent="0.25">
      <c r="A159" s="111">
        <v>113607</v>
      </c>
      <c r="B159" s="108"/>
      <c r="C159" s="109" t="s">
        <v>159</v>
      </c>
      <c r="D159" s="16">
        <f>+D160</f>
        <v>5000000000</v>
      </c>
      <c r="E159" s="16">
        <f t="shared" ref="E159:I159" si="71">+E160</f>
        <v>0</v>
      </c>
      <c r="F159" s="16">
        <f t="shared" si="71"/>
        <v>0</v>
      </c>
      <c r="G159" s="16">
        <f t="shared" si="71"/>
        <v>0</v>
      </c>
      <c r="H159" s="16">
        <f t="shared" si="71"/>
        <v>0</v>
      </c>
      <c r="I159" s="16">
        <f t="shared" si="71"/>
        <v>0</v>
      </c>
      <c r="J159" s="16">
        <f t="shared" si="66"/>
        <v>0</v>
      </c>
      <c r="K159" s="16">
        <f t="shared" si="36"/>
        <v>5000000000</v>
      </c>
      <c r="L159" s="16">
        <f>+L160</f>
        <v>1877962826</v>
      </c>
      <c r="M159" s="110">
        <f t="shared" si="70"/>
        <v>0.37559256520000001</v>
      </c>
      <c r="N159" s="145"/>
      <c r="P159" s="146"/>
    </row>
    <row r="160" spans="1:16" s="4" customFormat="1" ht="44.25" customHeight="1" x14ac:dyDescent="0.25">
      <c r="A160" s="111">
        <v>1136071</v>
      </c>
      <c r="B160" s="108">
        <v>20</v>
      </c>
      <c r="C160" s="109" t="s">
        <v>160</v>
      </c>
      <c r="D160" s="16">
        <v>5000000000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66"/>
        <v>0</v>
      </c>
      <c r="K160" s="16">
        <f t="shared" si="36"/>
        <v>5000000000</v>
      </c>
      <c r="L160" s="16">
        <v>1877962826</v>
      </c>
      <c r="M160" s="110">
        <f t="shared" si="70"/>
        <v>0.37559256520000001</v>
      </c>
      <c r="N160" s="145"/>
      <c r="P160" s="146"/>
    </row>
    <row r="161" spans="1:16" s="4" customFormat="1" ht="71.25" customHeight="1" x14ac:dyDescent="0.25">
      <c r="A161" s="111">
        <v>223</v>
      </c>
      <c r="B161" s="108"/>
      <c r="C161" s="109" t="s">
        <v>180</v>
      </c>
      <c r="D161" s="16">
        <f>+D162</f>
        <v>1200000000</v>
      </c>
      <c r="E161" s="16">
        <f t="shared" ref="E161:I162" si="72">+E162</f>
        <v>0</v>
      </c>
      <c r="F161" s="16">
        <f t="shared" si="72"/>
        <v>0</v>
      </c>
      <c r="G161" s="16">
        <f t="shared" si="72"/>
        <v>0</v>
      </c>
      <c r="H161" s="16">
        <f t="shared" si="72"/>
        <v>0</v>
      </c>
      <c r="I161" s="16">
        <f t="shared" si="72"/>
        <v>0</v>
      </c>
      <c r="J161" s="16">
        <f t="shared" si="66"/>
        <v>0</v>
      </c>
      <c r="K161" s="16">
        <f t="shared" si="36"/>
        <v>1200000000</v>
      </c>
      <c r="L161" s="16">
        <f>+L162</f>
        <v>1192097363</v>
      </c>
      <c r="M161" s="110">
        <f t="shared" si="70"/>
        <v>0.99341446916666665</v>
      </c>
      <c r="N161" s="145"/>
      <c r="P161" s="146"/>
    </row>
    <row r="162" spans="1:16" s="4" customFormat="1" ht="27.75" customHeight="1" x14ac:dyDescent="0.25">
      <c r="A162" s="111">
        <v>223600</v>
      </c>
      <c r="B162" s="108"/>
      <c r="C162" s="109" t="s">
        <v>181</v>
      </c>
      <c r="D162" s="16">
        <f>+D163</f>
        <v>1200000000</v>
      </c>
      <c r="E162" s="16">
        <f t="shared" si="72"/>
        <v>0</v>
      </c>
      <c r="F162" s="16">
        <f t="shared" si="72"/>
        <v>0</v>
      </c>
      <c r="G162" s="16">
        <f t="shared" si="72"/>
        <v>0</v>
      </c>
      <c r="H162" s="16">
        <f t="shared" si="72"/>
        <v>0</v>
      </c>
      <c r="I162" s="16">
        <f t="shared" si="72"/>
        <v>0</v>
      </c>
      <c r="J162" s="16">
        <f t="shared" si="66"/>
        <v>0</v>
      </c>
      <c r="K162" s="16">
        <f t="shared" si="36"/>
        <v>1200000000</v>
      </c>
      <c r="L162" s="16">
        <f>+L163</f>
        <v>1192097363</v>
      </c>
      <c r="M162" s="110">
        <f t="shared" si="70"/>
        <v>0.99341446916666665</v>
      </c>
      <c r="N162" s="145"/>
      <c r="P162" s="146"/>
    </row>
    <row r="163" spans="1:16" s="4" customFormat="1" ht="97.5" customHeight="1" x14ac:dyDescent="0.25">
      <c r="A163" s="111">
        <v>2236001</v>
      </c>
      <c r="B163" s="108">
        <v>20</v>
      </c>
      <c r="C163" s="109" t="s">
        <v>182</v>
      </c>
      <c r="D163" s="16">
        <v>1200000000</v>
      </c>
      <c r="E163" s="16"/>
      <c r="F163" s="16"/>
      <c r="G163" s="16"/>
      <c r="H163" s="16"/>
      <c r="I163" s="16"/>
      <c r="J163" s="16">
        <f t="shared" si="66"/>
        <v>0</v>
      </c>
      <c r="K163" s="16">
        <f t="shared" si="36"/>
        <v>1200000000</v>
      </c>
      <c r="L163" s="16">
        <v>1192097363</v>
      </c>
      <c r="M163" s="110">
        <f t="shared" si="70"/>
        <v>0.99341446916666665</v>
      </c>
      <c r="N163" s="145"/>
      <c r="P163" s="146"/>
    </row>
    <row r="164" spans="1:16" s="4" customFormat="1" ht="91.5" customHeight="1" x14ac:dyDescent="0.25">
      <c r="A164" s="111">
        <v>520</v>
      </c>
      <c r="B164" s="108"/>
      <c r="C164" s="109" t="s">
        <v>161</v>
      </c>
      <c r="D164" s="16">
        <f>+D165</f>
        <v>43145000000</v>
      </c>
      <c r="E164" s="16">
        <f t="shared" ref="E164:I164" si="73">+E165</f>
        <v>0</v>
      </c>
      <c r="F164" s="16">
        <f t="shared" si="73"/>
        <v>0</v>
      </c>
      <c r="G164" s="16">
        <f t="shared" si="73"/>
        <v>0</v>
      </c>
      <c r="H164" s="16">
        <f t="shared" si="73"/>
        <v>4000000000</v>
      </c>
      <c r="I164" s="16">
        <f t="shared" si="73"/>
        <v>4000000000</v>
      </c>
      <c r="J164" s="16">
        <f t="shared" si="66"/>
        <v>0</v>
      </c>
      <c r="K164" s="16">
        <f t="shared" si="36"/>
        <v>43145000000</v>
      </c>
      <c r="L164" s="16">
        <f t="shared" ref="L164" si="74">+L165</f>
        <v>38912009057</v>
      </c>
      <c r="M164" s="110">
        <f t="shared" si="70"/>
        <v>0.90188918894425774</v>
      </c>
      <c r="N164" s="145"/>
      <c r="P164" s="146"/>
    </row>
    <row r="165" spans="1:16" s="4" customFormat="1" ht="31.5" customHeight="1" x14ac:dyDescent="0.25">
      <c r="A165" s="111">
        <v>520600</v>
      </c>
      <c r="B165" s="108"/>
      <c r="C165" s="109" t="s">
        <v>103</v>
      </c>
      <c r="D165" s="16">
        <f>SUM(D166:D171)</f>
        <v>43145000000</v>
      </c>
      <c r="E165" s="16">
        <f t="shared" ref="E165:I165" si="75">SUM(E166:E171)</f>
        <v>0</v>
      </c>
      <c r="F165" s="16">
        <f t="shared" si="75"/>
        <v>0</v>
      </c>
      <c r="G165" s="16">
        <f t="shared" si="75"/>
        <v>0</v>
      </c>
      <c r="H165" s="16">
        <f t="shared" si="75"/>
        <v>4000000000</v>
      </c>
      <c r="I165" s="16">
        <f t="shared" si="75"/>
        <v>4000000000</v>
      </c>
      <c r="J165" s="16">
        <f t="shared" si="66"/>
        <v>0</v>
      </c>
      <c r="K165" s="16">
        <f t="shared" si="36"/>
        <v>43145000000</v>
      </c>
      <c r="L165" s="16">
        <f>SUM(L166:L171)</f>
        <v>38912009057</v>
      </c>
      <c r="M165" s="110">
        <f t="shared" si="70"/>
        <v>0.90188918894425774</v>
      </c>
      <c r="N165" s="16"/>
      <c r="O165" s="16"/>
      <c r="P165" s="16"/>
    </row>
    <row r="166" spans="1:16" s="4" customFormat="1" ht="62.25" customHeight="1" x14ac:dyDescent="0.25">
      <c r="A166" s="111">
        <v>5206001</v>
      </c>
      <c r="B166" s="108">
        <v>20</v>
      </c>
      <c r="C166" s="109" t="s">
        <v>171</v>
      </c>
      <c r="D166" s="16">
        <v>1000000000</v>
      </c>
      <c r="E166" s="16">
        <v>0</v>
      </c>
      <c r="F166" s="16">
        <v>0</v>
      </c>
      <c r="G166" s="16">
        <v>0</v>
      </c>
      <c r="H166" s="16">
        <v>4000000000</v>
      </c>
      <c r="I166" s="16">
        <v>0</v>
      </c>
      <c r="J166" s="16">
        <f t="shared" si="66"/>
        <v>4000000000</v>
      </c>
      <c r="K166" s="16">
        <f t="shared" si="36"/>
        <v>5000000000</v>
      </c>
      <c r="L166" s="16">
        <v>5000000000</v>
      </c>
      <c r="M166" s="110">
        <f t="shared" si="70"/>
        <v>1</v>
      </c>
      <c r="N166" s="145"/>
      <c r="P166" s="146"/>
    </row>
    <row r="167" spans="1:16" s="4" customFormat="1" ht="70.5" customHeight="1" x14ac:dyDescent="0.25">
      <c r="A167" s="111">
        <v>5206002</v>
      </c>
      <c r="B167" s="108">
        <v>10</v>
      </c>
      <c r="C167" s="109" t="s">
        <v>183</v>
      </c>
      <c r="D167" s="16">
        <v>808183510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66"/>
        <v>0</v>
      </c>
      <c r="K167" s="16">
        <f t="shared" si="36"/>
        <v>808183510</v>
      </c>
      <c r="L167" s="16">
        <v>746827487</v>
      </c>
      <c r="M167" s="110">
        <f t="shared" si="70"/>
        <v>0.92408157028593663</v>
      </c>
      <c r="N167" s="145"/>
      <c r="P167" s="146"/>
    </row>
    <row r="168" spans="1:16" s="4" customFormat="1" ht="70.5" customHeight="1" x14ac:dyDescent="0.25">
      <c r="A168" s="111">
        <v>5206002</v>
      </c>
      <c r="B168" s="108">
        <v>11</v>
      </c>
      <c r="C168" s="109" t="s">
        <v>183</v>
      </c>
      <c r="D168" s="16">
        <v>5465600000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f t="shared" si="66"/>
        <v>0</v>
      </c>
      <c r="K168" s="16">
        <f t="shared" si="36"/>
        <v>5465600000</v>
      </c>
      <c r="L168" s="16">
        <v>5465600000</v>
      </c>
      <c r="M168" s="110">
        <f t="shared" si="70"/>
        <v>1</v>
      </c>
      <c r="N168" s="145"/>
      <c r="P168" s="146"/>
    </row>
    <row r="169" spans="1:16" s="4" customFormat="1" ht="70.5" customHeight="1" x14ac:dyDescent="0.25">
      <c r="A169" s="111">
        <v>5206002</v>
      </c>
      <c r="B169" s="108">
        <v>20</v>
      </c>
      <c r="C169" s="109" t="s">
        <v>183</v>
      </c>
      <c r="D169" s="16">
        <v>28426216490</v>
      </c>
      <c r="E169" s="16">
        <v>0</v>
      </c>
      <c r="F169" s="16">
        <v>0</v>
      </c>
      <c r="G169" s="16">
        <v>0</v>
      </c>
      <c r="H169" s="16">
        <v>0</v>
      </c>
      <c r="I169" s="16">
        <v>4000000000</v>
      </c>
      <c r="J169" s="16">
        <f t="shared" si="66"/>
        <v>-4000000000</v>
      </c>
      <c r="K169" s="16">
        <f t="shared" si="36"/>
        <v>24426216490</v>
      </c>
      <c r="L169" s="16">
        <v>22195900489</v>
      </c>
      <c r="M169" s="110">
        <f t="shared" si="70"/>
        <v>0.9086917123692454</v>
      </c>
      <c r="N169" s="145"/>
      <c r="P169" s="146"/>
    </row>
    <row r="170" spans="1:16" s="4" customFormat="1" ht="70.5" customHeight="1" x14ac:dyDescent="0.25">
      <c r="A170" s="111">
        <v>5206002</v>
      </c>
      <c r="B170" s="108">
        <v>21</v>
      </c>
      <c r="C170" s="109" t="s">
        <v>183</v>
      </c>
      <c r="D170" s="16">
        <v>7000000000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f t="shared" si="66"/>
        <v>0</v>
      </c>
      <c r="K170" s="16">
        <f t="shared" si="36"/>
        <v>7000000000</v>
      </c>
      <c r="L170" s="16">
        <v>5164704175</v>
      </c>
      <c r="M170" s="110">
        <f t="shared" si="70"/>
        <v>0.73781488214285718</v>
      </c>
      <c r="N170" s="145"/>
      <c r="P170" s="146"/>
    </row>
    <row r="171" spans="1:16" s="4" customFormat="1" ht="70.5" customHeight="1" x14ac:dyDescent="0.25">
      <c r="A171" s="111">
        <v>5206003</v>
      </c>
      <c r="B171" s="108">
        <v>20</v>
      </c>
      <c r="C171" s="109" t="s">
        <v>184</v>
      </c>
      <c r="D171" s="16">
        <v>445000000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f t="shared" si="66"/>
        <v>0</v>
      </c>
      <c r="K171" s="16">
        <f t="shared" si="36"/>
        <v>445000000</v>
      </c>
      <c r="L171" s="16">
        <v>338976906</v>
      </c>
      <c r="M171" s="110">
        <f t="shared" si="70"/>
        <v>0.7617458561797753</v>
      </c>
      <c r="N171" s="145"/>
      <c r="P171" s="146"/>
    </row>
    <row r="172" spans="1:16" s="4" customFormat="1" ht="44.25" customHeight="1" x14ac:dyDescent="0.25">
      <c r="A172" s="111">
        <v>520608</v>
      </c>
      <c r="B172" s="108"/>
      <c r="C172" s="109" t="s">
        <v>185</v>
      </c>
      <c r="D172" s="16">
        <f>+D173</f>
        <v>5000000000</v>
      </c>
      <c r="E172" s="16">
        <f t="shared" ref="E172:I172" si="76">+E173</f>
        <v>0</v>
      </c>
      <c r="F172" s="16">
        <f t="shared" si="76"/>
        <v>0</v>
      </c>
      <c r="G172" s="16">
        <f t="shared" si="76"/>
        <v>0</v>
      </c>
      <c r="H172" s="16">
        <f t="shared" si="76"/>
        <v>0</v>
      </c>
      <c r="I172" s="16">
        <f t="shared" si="76"/>
        <v>0</v>
      </c>
      <c r="J172" s="16">
        <f t="shared" si="66"/>
        <v>0</v>
      </c>
      <c r="K172" s="16">
        <f t="shared" ref="K172:K178" si="77">D172+J172</f>
        <v>5000000000</v>
      </c>
      <c r="L172" s="16">
        <f>+L173</f>
        <v>4943770820</v>
      </c>
      <c r="M172" s="110">
        <f t="shared" si="70"/>
        <v>0.98875416400000005</v>
      </c>
      <c r="N172" s="145"/>
      <c r="P172" s="146"/>
    </row>
    <row r="173" spans="1:16" s="4" customFormat="1" ht="81.75" customHeight="1" x14ac:dyDescent="0.25">
      <c r="A173" s="111">
        <v>5206081</v>
      </c>
      <c r="B173" s="108">
        <v>20</v>
      </c>
      <c r="C173" s="109" t="s">
        <v>186</v>
      </c>
      <c r="D173" s="16">
        <v>5000000000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f t="shared" si="66"/>
        <v>0</v>
      </c>
      <c r="K173" s="16">
        <f t="shared" si="77"/>
        <v>5000000000</v>
      </c>
      <c r="L173" s="16">
        <v>4943770820</v>
      </c>
      <c r="M173" s="110">
        <f t="shared" si="70"/>
        <v>0.98875416400000005</v>
      </c>
      <c r="N173" s="145"/>
      <c r="P173" s="146"/>
    </row>
    <row r="174" spans="1:16" s="4" customFormat="1" ht="89.25" customHeight="1" x14ac:dyDescent="0.25">
      <c r="A174" s="111">
        <v>530</v>
      </c>
      <c r="B174" s="108"/>
      <c r="C174" s="109" t="s">
        <v>107</v>
      </c>
      <c r="D174" s="16">
        <f>+D175</f>
        <v>139501833242</v>
      </c>
      <c r="E174" s="16">
        <f t="shared" ref="E174:I174" si="78">+E175</f>
        <v>0</v>
      </c>
      <c r="F174" s="16">
        <f t="shared" si="78"/>
        <v>0</v>
      </c>
      <c r="G174" s="16">
        <f t="shared" si="78"/>
        <v>0</v>
      </c>
      <c r="H174" s="16">
        <f t="shared" si="78"/>
        <v>0</v>
      </c>
      <c r="I174" s="16">
        <f t="shared" si="78"/>
        <v>0</v>
      </c>
      <c r="J174" s="16">
        <f t="shared" si="66"/>
        <v>0</v>
      </c>
      <c r="K174" s="16">
        <f t="shared" si="77"/>
        <v>139501833242</v>
      </c>
      <c r="L174" s="16">
        <f>+L175</f>
        <v>139437670955</v>
      </c>
      <c r="M174" s="110">
        <f t="shared" si="70"/>
        <v>0.99954006133461559</v>
      </c>
      <c r="N174" s="145"/>
    </row>
    <row r="175" spans="1:16" s="4" customFormat="1" ht="49.5" customHeight="1" x14ac:dyDescent="0.25">
      <c r="A175" s="111">
        <v>530600</v>
      </c>
      <c r="B175" s="108"/>
      <c r="C175" s="109" t="s">
        <v>103</v>
      </c>
      <c r="D175" s="16">
        <f>+D176+D177+D178</f>
        <v>139501833242</v>
      </c>
      <c r="E175" s="16">
        <f t="shared" ref="E175:I175" si="79">+E176+E177+E178</f>
        <v>0</v>
      </c>
      <c r="F175" s="16">
        <f t="shared" si="79"/>
        <v>0</v>
      </c>
      <c r="G175" s="16">
        <f t="shared" si="79"/>
        <v>0</v>
      </c>
      <c r="H175" s="16">
        <f t="shared" si="79"/>
        <v>0</v>
      </c>
      <c r="I175" s="16">
        <f t="shared" si="79"/>
        <v>0</v>
      </c>
      <c r="J175" s="16">
        <f t="shared" si="66"/>
        <v>0</v>
      </c>
      <c r="K175" s="16">
        <f t="shared" si="77"/>
        <v>139501833242</v>
      </c>
      <c r="L175" s="16">
        <f t="shared" ref="L175" si="80">+L176+L177+L178</f>
        <v>139437670955</v>
      </c>
      <c r="M175" s="110">
        <f t="shared" si="70"/>
        <v>0.99954006133461559</v>
      </c>
      <c r="N175" s="145"/>
    </row>
    <row r="176" spans="1:16" s="4" customFormat="1" ht="96" customHeight="1" x14ac:dyDescent="0.25">
      <c r="A176" s="111">
        <v>5306003</v>
      </c>
      <c r="B176" s="108">
        <v>20</v>
      </c>
      <c r="C176" s="109" t="s">
        <v>187</v>
      </c>
      <c r="D176" s="16">
        <v>7290756902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f t="shared" si="66"/>
        <v>0</v>
      </c>
      <c r="K176" s="16">
        <f t="shared" si="77"/>
        <v>7290756902</v>
      </c>
      <c r="L176" s="16">
        <v>7290756901</v>
      </c>
      <c r="M176" s="110">
        <f t="shared" si="70"/>
        <v>0.99999999986284005</v>
      </c>
      <c r="N176" s="145"/>
    </row>
    <row r="177" spans="1:14" s="4" customFormat="1" ht="101.25" customHeight="1" x14ac:dyDescent="0.25">
      <c r="A177" s="111">
        <v>5306003</v>
      </c>
      <c r="B177" s="108">
        <v>21</v>
      </c>
      <c r="C177" s="109" t="s">
        <v>187</v>
      </c>
      <c r="D177" s="16">
        <v>28072076340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f t="shared" si="66"/>
        <v>0</v>
      </c>
      <c r="K177" s="16">
        <f t="shared" si="77"/>
        <v>28072076340</v>
      </c>
      <c r="L177" s="16">
        <v>28007914054</v>
      </c>
      <c r="M177" s="110">
        <f t="shared" si="70"/>
        <v>0.9977143733430015</v>
      </c>
      <c r="N177" s="145"/>
    </row>
    <row r="178" spans="1:14" s="4" customFormat="1" ht="81" customHeight="1" thickBot="1" x14ac:dyDescent="0.3">
      <c r="A178" s="116">
        <v>5306003</v>
      </c>
      <c r="B178" s="117">
        <v>11</v>
      </c>
      <c r="C178" s="118" t="s">
        <v>187</v>
      </c>
      <c r="D178" s="141">
        <v>104139000000</v>
      </c>
      <c r="E178" s="141">
        <v>0</v>
      </c>
      <c r="F178" s="141">
        <v>0</v>
      </c>
      <c r="G178" s="141">
        <v>0</v>
      </c>
      <c r="H178" s="141">
        <v>0</v>
      </c>
      <c r="I178" s="141">
        <v>0</v>
      </c>
      <c r="J178" s="141">
        <f t="shared" si="66"/>
        <v>0</v>
      </c>
      <c r="K178" s="141">
        <f t="shared" si="77"/>
        <v>104139000000</v>
      </c>
      <c r="L178" s="141">
        <v>104139000000</v>
      </c>
      <c r="M178" s="152">
        <f t="shared" si="70"/>
        <v>1</v>
      </c>
      <c r="N178" s="145"/>
    </row>
    <row r="179" spans="1:14" s="21" customFormat="1" ht="37.5" customHeight="1" thickBot="1" x14ac:dyDescent="0.3">
      <c r="A179" s="258" t="s">
        <v>108</v>
      </c>
      <c r="B179" s="259"/>
      <c r="C179" s="260"/>
      <c r="D179" s="105">
        <f t="shared" ref="D179:L179" si="81">+D11+D133+D138</f>
        <v>2480795934000</v>
      </c>
      <c r="E179" s="105">
        <f t="shared" si="81"/>
        <v>0</v>
      </c>
      <c r="F179" s="105">
        <f t="shared" si="81"/>
        <v>192803050349</v>
      </c>
      <c r="G179" s="105">
        <f t="shared" si="81"/>
        <v>0</v>
      </c>
      <c r="H179" s="105">
        <f t="shared" si="81"/>
        <v>175321341183</v>
      </c>
      <c r="I179" s="105">
        <f t="shared" si="81"/>
        <v>175321341183</v>
      </c>
      <c r="J179" s="105">
        <f t="shared" si="66"/>
        <v>-192803050349</v>
      </c>
      <c r="K179" s="105">
        <f t="shared" si="81"/>
        <v>2287992883651</v>
      </c>
      <c r="L179" s="105">
        <f t="shared" si="81"/>
        <v>2275031052547.9302</v>
      </c>
      <c r="M179" s="106">
        <f t="shared" si="70"/>
        <v>0.99433484640809444</v>
      </c>
    </row>
    <row r="180" spans="1:14" s="4" customFormat="1" x14ac:dyDescent="0.25">
      <c r="A180" s="153"/>
      <c r="B180" s="15"/>
      <c r="C180" s="11"/>
      <c r="D180" s="12"/>
      <c r="E180" s="12"/>
      <c r="F180" s="12"/>
      <c r="G180" s="12"/>
      <c r="H180" s="12"/>
      <c r="I180" s="12"/>
      <c r="J180" s="12"/>
      <c r="K180" s="12"/>
      <c r="L180" s="12"/>
      <c r="M180" s="19"/>
    </row>
    <row r="181" spans="1:14" s="4" customFormat="1" ht="24.75" customHeight="1" x14ac:dyDescent="0.25">
      <c r="A181" s="153" t="s">
        <v>173</v>
      </c>
      <c r="B181" s="15"/>
      <c r="C181" s="11"/>
      <c r="D181" s="12"/>
      <c r="E181" s="12"/>
      <c r="F181" s="12"/>
      <c r="G181" s="12"/>
      <c r="H181" s="12"/>
      <c r="I181" s="12"/>
      <c r="J181" s="12"/>
      <c r="K181" s="12"/>
      <c r="L181" s="12"/>
      <c r="M181" s="19"/>
    </row>
  </sheetData>
  <mergeCells count="9">
    <mergeCell ref="M8:M9"/>
    <mergeCell ref="A179:C179"/>
    <mergeCell ref="B8:B10"/>
    <mergeCell ref="A8:A10"/>
    <mergeCell ref="C8:C10"/>
    <mergeCell ref="D8:D9"/>
    <mergeCell ref="E8:J8"/>
    <mergeCell ref="K8:K9"/>
    <mergeCell ref="L8:L9"/>
  </mergeCells>
  <printOptions horizontalCentered="1" verticalCentered="1"/>
  <pageMargins left="0.19685039370078741" right="0.19685039370078741" top="0.59055118110236227" bottom="0.59055118110236227" header="0.31496062992125984" footer="0.31496062992125984"/>
  <pageSetup paperSize="261" scale="65" orientation="landscape" r:id="rId1"/>
  <headerFooter>
    <oddFooter>&amp;CPágina&amp;P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B182"/>
  <sheetViews>
    <sheetView showGridLines="0" topLeftCell="A178" zoomScale="85" zoomScaleNormal="85" workbookViewId="0">
      <selection activeCell="AZ12" sqref="AZ12"/>
    </sheetView>
  </sheetViews>
  <sheetFormatPr baseColWidth="10" defaultRowHeight="15" x14ac:dyDescent="0.25"/>
  <cols>
    <col min="1" max="1" width="14.5703125" style="1" customWidth="1"/>
    <col min="2" max="2" width="9.42578125" style="15" customWidth="1"/>
    <col min="3" max="3" width="38" style="2" customWidth="1"/>
    <col min="4" max="4" width="19" style="3" customWidth="1"/>
    <col min="5" max="5" width="12.140625" style="3" hidden="1" customWidth="1"/>
    <col min="6" max="6" width="9.28515625" style="3" hidden="1" customWidth="1"/>
    <col min="7" max="7" width="16.7109375" style="3" hidden="1" customWidth="1"/>
    <col min="8" max="8" width="21" style="3" hidden="1" customWidth="1"/>
    <col min="9" max="9" width="20.42578125" style="3" hidden="1" customWidth="1"/>
    <col min="10" max="10" width="18.28515625" style="12" hidden="1" customWidth="1"/>
    <col min="11" max="11" width="19" style="12" bestFit="1" customWidth="1"/>
    <col min="12" max="12" width="19.7109375" style="3" customWidth="1"/>
    <col min="13" max="13" width="16.5703125" style="20" customWidth="1"/>
    <col min="14" max="14" width="29.140625" style="1" hidden="1" customWidth="1"/>
    <col min="15" max="16" width="19" style="1" hidden="1" customWidth="1"/>
    <col min="17" max="50" width="0" style="1" hidden="1" customWidth="1"/>
    <col min="51" max="51" width="15.28515625" style="1" bestFit="1" customWidth="1"/>
    <col min="52" max="52" width="16.140625" style="1" bestFit="1" customWidth="1"/>
    <col min="53" max="53" width="11.42578125" style="1"/>
    <col min="54" max="54" width="14.42578125" style="1" bestFit="1" customWidth="1"/>
    <col min="55" max="16384" width="11.42578125" style="1"/>
  </cols>
  <sheetData>
    <row r="1" spans="1:16" ht="15.75" thickBot="1" x14ac:dyDescent="0.3">
      <c r="A1" s="4"/>
      <c r="C1" s="11"/>
      <c r="D1" s="12"/>
      <c r="E1" s="12"/>
      <c r="F1" s="12"/>
      <c r="G1" s="12"/>
      <c r="H1" s="12"/>
      <c r="I1" s="12"/>
      <c r="L1" s="12"/>
      <c r="M1" s="19"/>
    </row>
    <row r="2" spans="1:16" ht="20.100000000000001" customHeight="1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6" ht="20.100000000000001" customHeight="1" x14ac:dyDescent="0.25">
      <c r="A3" s="10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6" ht="20.100000000000001" customHeight="1" x14ac:dyDescent="0.25">
      <c r="A4" s="10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6" ht="20.100000000000001" customHeight="1" x14ac:dyDescent="0.25">
      <c r="A5" s="10"/>
      <c r="C5" s="44" t="s">
        <v>208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6" ht="20.100000000000001" customHeight="1" x14ac:dyDescent="0.25">
      <c r="A6" s="10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6" ht="20.100000000000001" customHeight="1" thickBot="1" x14ac:dyDescent="0.3">
      <c r="A7" s="10"/>
      <c r="C7" s="11"/>
      <c r="D7" s="12"/>
      <c r="E7" s="12"/>
      <c r="F7" s="12"/>
      <c r="G7" s="12"/>
      <c r="H7" s="12"/>
      <c r="I7" s="12"/>
      <c r="L7" s="12"/>
      <c r="M7" s="43"/>
    </row>
    <row r="8" spans="1:16" ht="33.75" customHeight="1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126</v>
      </c>
    </row>
    <row r="9" spans="1:16" ht="54.75" customHeight="1" x14ac:dyDescent="0.25">
      <c r="A9" s="262"/>
      <c r="B9" s="262"/>
      <c r="C9" s="262"/>
      <c r="D9" s="257"/>
      <c r="E9" s="85" t="s">
        <v>110</v>
      </c>
      <c r="F9" s="85" t="s">
        <v>111</v>
      </c>
      <c r="G9" s="85" t="s">
        <v>112</v>
      </c>
      <c r="H9" s="85" t="s">
        <v>113</v>
      </c>
      <c r="I9" s="85" t="s">
        <v>114</v>
      </c>
      <c r="J9" s="85" t="s">
        <v>115</v>
      </c>
      <c r="K9" s="257"/>
      <c r="L9" s="257" t="s">
        <v>0</v>
      </c>
      <c r="M9" s="257" t="s">
        <v>1</v>
      </c>
    </row>
    <row r="10" spans="1:16" s="47" customFormat="1" ht="24.95" customHeight="1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6" s="40" customFormat="1" ht="16.5" thickBot="1" x14ac:dyDescent="0.3">
      <c r="A11" s="89" t="s">
        <v>2</v>
      </c>
      <c r="B11" s="90"/>
      <c r="C11" s="91" t="s">
        <v>3</v>
      </c>
      <c r="D11" s="92">
        <f>+D12+D51+D119</f>
        <v>71459940000</v>
      </c>
      <c r="E11" s="92">
        <f t="shared" ref="E11:L11" si="0">+E12+E51+E119</f>
        <v>0</v>
      </c>
      <c r="F11" s="92">
        <f t="shared" si="0"/>
        <v>0</v>
      </c>
      <c r="G11" s="92">
        <f t="shared" si="0"/>
        <v>0</v>
      </c>
      <c r="H11" s="92">
        <f t="shared" si="0"/>
        <v>12515277240</v>
      </c>
      <c r="I11" s="92">
        <f t="shared" si="0"/>
        <v>12515277240</v>
      </c>
      <c r="J11" s="143">
        <f t="shared" ref="J11:J74" si="1">E11-F11-G11+H11-I11</f>
        <v>0</v>
      </c>
      <c r="K11" s="92">
        <f t="shared" si="0"/>
        <v>71459940000</v>
      </c>
      <c r="L11" s="92">
        <f t="shared" si="0"/>
        <v>70680675193.589996</v>
      </c>
      <c r="M11" s="94">
        <f>+L11/K11</f>
        <v>0.98909508171417437</v>
      </c>
      <c r="N11" s="150">
        <f>+K11-[1]Abril!D10</f>
        <v>993169061</v>
      </c>
    </row>
    <row r="12" spans="1:16" s="4" customFormat="1" ht="24.95" customHeight="1" x14ac:dyDescent="0.25">
      <c r="A12" s="135">
        <v>1</v>
      </c>
      <c r="B12" s="129"/>
      <c r="C12" s="130" t="s">
        <v>4</v>
      </c>
      <c r="D12" s="132">
        <f t="shared" ref="D12:L12" si="2">+D13</f>
        <v>46882768331</v>
      </c>
      <c r="E12" s="132">
        <f t="shared" si="2"/>
        <v>0</v>
      </c>
      <c r="F12" s="132">
        <f t="shared" si="2"/>
        <v>0</v>
      </c>
      <c r="G12" s="132">
        <f t="shared" si="2"/>
        <v>0</v>
      </c>
      <c r="H12" s="132">
        <f t="shared" si="2"/>
        <v>3780947586</v>
      </c>
      <c r="I12" s="132">
        <f t="shared" si="2"/>
        <v>5016047586</v>
      </c>
      <c r="J12" s="132">
        <f t="shared" si="1"/>
        <v>-1235100000</v>
      </c>
      <c r="K12" s="132">
        <f t="shared" si="2"/>
        <v>45647668331</v>
      </c>
      <c r="L12" s="132">
        <f t="shared" si="2"/>
        <v>44998509325.510002</v>
      </c>
      <c r="M12" s="136">
        <f t="shared" ref="M12:M76" si="3">+L12/K12</f>
        <v>0.98577892301567693</v>
      </c>
      <c r="N12" s="145">
        <f>+K12-[1]Julio!D11</f>
        <v>600697392</v>
      </c>
    </row>
    <row r="13" spans="1:16" s="4" customFormat="1" ht="24.95" customHeight="1" x14ac:dyDescent="0.25">
      <c r="A13" s="137">
        <v>10</v>
      </c>
      <c r="B13" s="108"/>
      <c r="C13" s="109" t="s">
        <v>4</v>
      </c>
      <c r="D13" s="16">
        <f t="shared" ref="D13:L13" si="4">+D14+D34+D40</f>
        <v>46882768331</v>
      </c>
      <c r="E13" s="16">
        <f t="shared" si="4"/>
        <v>0</v>
      </c>
      <c r="F13" s="16">
        <f t="shared" si="4"/>
        <v>0</v>
      </c>
      <c r="G13" s="16">
        <f t="shared" si="4"/>
        <v>0</v>
      </c>
      <c r="H13" s="16">
        <f t="shared" si="4"/>
        <v>3780947586</v>
      </c>
      <c r="I13" s="16">
        <f t="shared" si="4"/>
        <v>5016047586</v>
      </c>
      <c r="J13" s="16">
        <f t="shared" si="1"/>
        <v>-1235100000</v>
      </c>
      <c r="K13" s="16">
        <f>+K14+K34+K40</f>
        <v>45647668331</v>
      </c>
      <c r="L13" s="16">
        <f t="shared" si="4"/>
        <v>44998509325.510002</v>
      </c>
      <c r="M13" s="138">
        <f t="shared" si="3"/>
        <v>0.98577892301567693</v>
      </c>
      <c r="N13" s="145">
        <f>+K13-[1]Julio!D12</f>
        <v>600697392</v>
      </c>
    </row>
    <row r="14" spans="1:16" s="4" customFormat="1" ht="39.75" customHeight="1" x14ac:dyDescent="0.25">
      <c r="A14" s="137">
        <v>101</v>
      </c>
      <c r="B14" s="108"/>
      <c r="C14" s="109" t="s">
        <v>5</v>
      </c>
      <c r="D14" s="16">
        <f>+D15+D19+D22+D30+D33</f>
        <v>28946600000</v>
      </c>
      <c r="E14" s="16">
        <f t="shared" ref="E14:I14" si="5">+E15+E19+E22+E30+E33</f>
        <v>0</v>
      </c>
      <c r="F14" s="16">
        <f t="shared" si="5"/>
        <v>0</v>
      </c>
      <c r="G14" s="16">
        <f t="shared" si="5"/>
        <v>0</v>
      </c>
      <c r="H14" s="16">
        <f t="shared" si="5"/>
        <v>720393829</v>
      </c>
      <c r="I14" s="16">
        <f t="shared" si="5"/>
        <v>2355793829</v>
      </c>
      <c r="J14" s="16">
        <f t="shared" si="1"/>
        <v>-1635400000</v>
      </c>
      <c r="K14" s="16">
        <f t="shared" ref="K14" si="6">+K15+K19+K22+K31+K32</f>
        <v>27311200000</v>
      </c>
      <c r="L14" s="16">
        <f>+L15+L19+L22+L30+L33</f>
        <v>26903683448.550003</v>
      </c>
      <c r="M14" s="138">
        <f t="shared" si="3"/>
        <v>0.98507877532111376</v>
      </c>
      <c r="N14" s="145">
        <f>+K14-[1]Julio!D13</f>
        <v>-568153000</v>
      </c>
      <c r="O14" s="12">
        <v>45647668331</v>
      </c>
      <c r="P14" s="146">
        <f>+O14-K13</f>
        <v>0</v>
      </c>
    </row>
    <row r="15" spans="1:16" s="4" customFormat="1" ht="15.75" x14ac:dyDescent="0.25">
      <c r="A15" s="137">
        <v>1011</v>
      </c>
      <c r="B15" s="108"/>
      <c r="C15" s="109" t="s">
        <v>6</v>
      </c>
      <c r="D15" s="16">
        <f t="shared" ref="D15:L15" si="7">+D16+D17+D18</f>
        <v>19330200000</v>
      </c>
      <c r="E15" s="16">
        <f t="shared" si="7"/>
        <v>0</v>
      </c>
      <c r="F15" s="16">
        <f t="shared" si="7"/>
        <v>0</v>
      </c>
      <c r="G15" s="16">
        <f t="shared" si="7"/>
        <v>0</v>
      </c>
      <c r="H15" s="16">
        <f t="shared" si="7"/>
        <v>391793829</v>
      </c>
      <c r="I15" s="16">
        <f t="shared" si="7"/>
        <v>175493829</v>
      </c>
      <c r="J15" s="16">
        <f t="shared" si="1"/>
        <v>216300000</v>
      </c>
      <c r="K15" s="16">
        <f t="shared" si="7"/>
        <v>19546500000</v>
      </c>
      <c r="L15" s="16">
        <f t="shared" si="7"/>
        <v>19533653502.880001</v>
      </c>
      <c r="M15" s="138">
        <f t="shared" si="3"/>
        <v>0.99934277251067971</v>
      </c>
      <c r="N15" s="145">
        <f>+K15-[1]Julio!D14</f>
        <v>163526000</v>
      </c>
    </row>
    <row r="16" spans="1:16" s="4" customFormat="1" ht="24.95" customHeight="1" x14ac:dyDescent="0.25">
      <c r="A16" s="137">
        <v>10111</v>
      </c>
      <c r="B16" s="108">
        <v>20</v>
      </c>
      <c r="C16" s="109" t="s">
        <v>7</v>
      </c>
      <c r="D16" s="16">
        <v>18220639937</v>
      </c>
      <c r="E16" s="16">
        <v>0</v>
      </c>
      <c r="F16" s="16">
        <v>0</v>
      </c>
      <c r="G16" s="16">
        <v>0</v>
      </c>
      <c r="H16" s="16">
        <v>175493829</v>
      </c>
      <c r="I16" s="16">
        <v>0</v>
      </c>
      <c r="J16" s="16">
        <f t="shared" si="1"/>
        <v>175493829</v>
      </c>
      <c r="K16" s="16">
        <f t="shared" ref="K16:K81" si="8">D16+J16</f>
        <v>18396133766</v>
      </c>
      <c r="L16" s="16">
        <v>18396133766</v>
      </c>
      <c r="M16" s="138">
        <f t="shared" si="3"/>
        <v>1</v>
      </c>
      <c r="N16" s="145">
        <f>+K16-[1]Julio!D15</f>
        <v>989411579</v>
      </c>
    </row>
    <row r="17" spans="1:14" s="4" customFormat="1" ht="24.95" customHeight="1" x14ac:dyDescent="0.25">
      <c r="A17" s="137">
        <v>10112</v>
      </c>
      <c r="B17" s="108">
        <v>20</v>
      </c>
      <c r="C17" s="109" t="s">
        <v>8</v>
      </c>
      <c r="D17" s="16">
        <v>930319852</v>
      </c>
      <c r="E17" s="16">
        <v>0</v>
      </c>
      <c r="F17" s="16">
        <v>0</v>
      </c>
      <c r="G17" s="16">
        <v>0</v>
      </c>
      <c r="H17" s="16">
        <f>63000000+109300000</f>
        <v>172300000</v>
      </c>
      <c r="I17" s="16">
        <v>92115892</v>
      </c>
      <c r="J17" s="16">
        <f t="shared" si="1"/>
        <v>80184108</v>
      </c>
      <c r="K17" s="16">
        <f t="shared" si="8"/>
        <v>1010503960</v>
      </c>
      <c r="L17" s="16">
        <v>1003570264</v>
      </c>
      <c r="M17" s="138">
        <f t="shared" si="3"/>
        <v>0.99313837820091277</v>
      </c>
      <c r="N17" s="145">
        <f>+K17-[1]Julio!D16</f>
        <v>-229526281</v>
      </c>
    </row>
    <row r="18" spans="1:14" s="4" customFormat="1" ht="33.75" customHeight="1" x14ac:dyDescent="0.25">
      <c r="A18" s="137">
        <v>10114</v>
      </c>
      <c r="B18" s="108">
        <v>20</v>
      </c>
      <c r="C18" s="109" t="s">
        <v>9</v>
      </c>
      <c r="D18" s="16">
        <v>179240211</v>
      </c>
      <c r="E18" s="16">
        <v>0</v>
      </c>
      <c r="F18" s="16">
        <v>0</v>
      </c>
      <c r="G18" s="16">
        <v>0</v>
      </c>
      <c r="H18" s="16">
        <v>44000000</v>
      </c>
      <c r="I18" s="16">
        <v>83377937</v>
      </c>
      <c r="J18" s="16">
        <f t="shared" si="1"/>
        <v>-39377937</v>
      </c>
      <c r="K18" s="16">
        <f>D18+J18</f>
        <v>139862274</v>
      </c>
      <c r="L18" s="16">
        <v>133949472.88</v>
      </c>
      <c r="M18" s="138">
        <f t="shared" si="3"/>
        <v>0.95772411708392502</v>
      </c>
      <c r="N18" s="145">
        <f>+K18-[1]Julio!D17</f>
        <v>-596359298</v>
      </c>
    </row>
    <row r="19" spans="1:14" s="4" customFormat="1" ht="24.95" customHeight="1" x14ac:dyDescent="0.25">
      <c r="A19" s="137">
        <v>1014</v>
      </c>
      <c r="B19" s="108"/>
      <c r="C19" s="109" t="s">
        <v>10</v>
      </c>
      <c r="D19" s="16">
        <f>+D21+D20</f>
        <v>3956300000</v>
      </c>
      <c r="E19" s="16">
        <f t="shared" ref="E19:I19" si="9">+E21+E20</f>
        <v>0</v>
      </c>
      <c r="F19" s="16">
        <f t="shared" si="9"/>
        <v>0</v>
      </c>
      <c r="G19" s="16">
        <f t="shared" si="9"/>
        <v>0</v>
      </c>
      <c r="H19" s="16">
        <f t="shared" si="9"/>
        <v>0</v>
      </c>
      <c r="I19" s="16">
        <f t="shared" si="9"/>
        <v>869200000</v>
      </c>
      <c r="J19" s="16">
        <f t="shared" si="1"/>
        <v>-869200000</v>
      </c>
      <c r="K19" s="16">
        <f>D19+J19</f>
        <v>3087100000</v>
      </c>
      <c r="L19" s="16">
        <f>+L20+L21</f>
        <v>2954745337</v>
      </c>
      <c r="M19" s="138">
        <f>+L19/K19</f>
        <v>0.95712653849891483</v>
      </c>
      <c r="N19" s="145">
        <f>+K19-[1]Julio!D18</f>
        <v>-849044000</v>
      </c>
    </row>
    <row r="20" spans="1:14" s="4" customFormat="1" ht="24.95" customHeight="1" x14ac:dyDescent="0.25">
      <c r="A20" s="137">
        <v>10141</v>
      </c>
      <c r="B20" s="108">
        <v>20</v>
      </c>
      <c r="C20" s="109" t="s">
        <v>162</v>
      </c>
      <c r="D20" s="16">
        <v>664329370</v>
      </c>
      <c r="E20" s="16">
        <v>0</v>
      </c>
      <c r="F20" s="16">
        <v>0</v>
      </c>
      <c r="G20" s="16">
        <v>0</v>
      </c>
      <c r="H20" s="16">
        <v>0</v>
      </c>
      <c r="I20" s="16">
        <v>105600000</v>
      </c>
      <c r="J20" s="16">
        <f t="shared" si="1"/>
        <v>-105600000</v>
      </c>
      <c r="K20" s="16">
        <f>D20+J20</f>
        <v>558729370</v>
      </c>
      <c r="L20" s="16">
        <v>448166495</v>
      </c>
      <c r="M20" s="138">
        <f t="shared" si="3"/>
        <v>0.80211730233547596</v>
      </c>
      <c r="N20" s="145"/>
    </row>
    <row r="21" spans="1:14" s="4" customFormat="1" ht="24.95" customHeight="1" x14ac:dyDescent="0.25">
      <c r="A21" s="137">
        <v>10142</v>
      </c>
      <c r="B21" s="108">
        <v>20</v>
      </c>
      <c r="C21" s="109" t="s">
        <v>11</v>
      </c>
      <c r="D21" s="16">
        <v>3291970630</v>
      </c>
      <c r="E21" s="16">
        <v>0</v>
      </c>
      <c r="F21" s="16">
        <v>0</v>
      </c>
      <c r="G21" s="16">
        <v>0</v>
      </c>
      <c r="H21" s="16">
        <v>0</v>
      </c>
      <c r="I21" s="16">
        <v>763600000</v>
      </c>
      <c r="J21" s="16">
        <f t="shared" si="1"/>
        <v>-763600000</v>
      </c>
      <c r="K21" s="16">
        <f>D21+J21</f>
        <v>2528370630</v>
      </c>
      <c r="L21" s="16">
        <v>2506578842</v>
      </c>
      <c r="M21" s="138">
        <f t="shared" si="3"/>
        <v>0.99138109431369248</v>
      </c>
      <c r="N21" s="145">
        <f>+K21-[1]Julio!D20</f>
        <v>-1043498026</v>
      </c>
    </row>
    <row r="22" spans="1:14" s="4" customFormat="1" ht="24.95" customHeight="1" x14ac:dyDescent="0.25">
      <c r="A22" s="137">
        <v>1015</v>
      </c>
      <c r="B22" s="108"/>
      <c r="C22" s="109" t="s">
        <v>12</v>
      </c>
      <c r="D22" s="16">
        <f t="shared" ref="D22:I22" si="10">SUM(D23:D29)</f>
        <v>4229200000</v>
      </c>
      <c r="E22" s="16">
        <f t="shared" si="10"/>
        <v>0</v>
      </c>
      <c r="F22" s="16">
        <f t="shared" si="10"/>
        <v>0</v>
      </c>
      <c r="G22" s="16">
        <f t="shared" si="10"/>
        <v>0</v>
      </c>
      <c r="H22" s="16">
        <f t="shared" si="10"/>
        <v>147000000</v>
      </c>
      <c r="I22" s="16">
        <f t="shared" si="10"/>
        <v>0</v>
      </c>
      <c r="J22" s="16">
        <f t="shared" si="1"/>
        <v>147000000</v>
      </c>
      <c r="K22" s="16">
        <f t="shared" si="8"/>
        <v>4376200000</v>
      </c>
      <c r="L22" s="16">
        <f>SUM(L23:L29)</f>
        <v>4156398423.6700001</v>
      </c>
      <c r="M22" s="138">
        <f t="shared" si="3"/>
        <v>0.94977341613043287</v>
      </c>
      <c r="N22" s="145">
        <f>+K22-[1]Julio!D21</f>
        <v>277567000</v>
      </c>
    </row>
    <row r="23" spans="1:14" s="4" customFormat="1" ht="31.5" x14ac:dyDescent="0.25">
      <c r="A23" s="137">
        <v>10152</v>
      </c>
      <c r="B23" s="157">
        <v>20</v>
      </c>
      <c r="C23" s="109" t="s">
        <v>13</v>
      </c>
      <c r="D23" s="16">
        <v>565819716</v>
      </c>
      <c r="E23" s="16">
        <v>0</v>
      </c>
      <c r="F23" s="16">
        <v>0</v>
      </c>
      <c r="G23" s="16">
        <v>0</v>
      </c>
      <c r="H23" s="16">
        <v>21000000</v>
      </c>
      <c r="I23" s="16">
        <v>0</v>
      </c>
      <c r="J23" s="16">
        <f t="shared" si="1"/>
        <v>21000000</v>
      </c>
      <c r="K23" s="16">
        <f t="shared" si="8"/>
        <v>586819716</v>
      </c>
      <c r="L23" s="16">
        <v>555878263</v>
      </c>
      <c r="M23" s="138">
        <f t="shared" si="3"/>
        <v>0.94727264242089648</v>
      </c>
      <c r="N23" s="145">
        <f>+K23-[1]Julio!D22</f>
        <v>20309506</v>
      </c>
    </row>
    <row r="24" spans="1:14" s="4" customFormat="1" ht="31.5" x14ac:dyDescent="0.25">
      <c r="A24" s="137">
        <v>10155</v>
      </c>
      <c r="B24" s="157">
        <v>20</v>
      </c>
      <c r="C24" s="109" t="s">
        <v>14</v>
      </c>
      <c r="D24" s="16">
        <v>128746192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f t="shared" si="1"/>
        <v>0</v>
      </c>
      <c r="K24" s="16">
        <f t="shared" si="8"/>
        <v>128746192</v>
      </c>
      <c r="L24" s="16">
        <v>96782843</v>
      </c>
      <c r="M24" s="138">
        <f t="shared" si="3"/>
        <v>0.75173363574124197</v>
      </c>
      <c r="N24" s="145">
        <f>+K24-[1]Julio!D23</f>
        <v>29762873</v>
      </c>
    </row>
    <row r="25" spans="1:14" s="4" customFormat="1" ht="24.95" customHeight="1" x14ac:dyDescent="0.25">
      <c r="A25" s="137">
        <v>101512</v>
      </c>
      <c r="B25" s="157">
        <v>20</v>
      </c>
      <c r="C25" s="109" t="s">
        <v>15</v>
      </c>
      <c r="D25" s="16">
        <v>1809405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f t="shared" si="1"/>
        <v>0</v>
      </c>
      <c r="K25" s="16">
        <f t="shared" si="8"/>
        <v>1809405</v>
      </c>
      <c r="L25" s="16">
        <v>1707008</v>
      </c>
      <c r="M25" s="138">
        <f t="shared" si="3"/>
        <v>0.94340846852971005</v>
      </c>
      <c r="N25" s="145">
        <f>+K25-[1]Julio!D24</f>
        <v>-60195</v>
      </c>
    </row>
    <row r="26" spans="1:14" s="4" customFormat="1" ht="24.95" customHeight="1" x14ac:dyDescent="0.25">
      <c r="A26" s="137">
        <v>101514</v>
      </c>
      <c r="B26" s="157">
        <v>20</v>
      </c>
      <c r="C26" s="109" t="s">
        <v>16</v>
      </c>
      <c r="D26" s="16">
        <v>816830623</v>
      </c>
      <c r="E26" s="16">
        <v>0</v>
      </c>
      <c r="F26" s="16">
        <v>0</v>
      </c>
      <c r="G26" s="16">
        <v>0</v>
      </c>
      <c r="H26" s="16">
        <v>10500000</v>
      </c>
      <c r="I26" s="16">
        <v>0</v>
      </c>
      <c r="J26" s="16">
        <f t="shared" si="1"/>
        <v>10500000</v>
      </c>
      <c r="K26" s="16">
        <f t="shared" si="8"/>
        <v>827330623</v>
      </c>
      <c r="L26" s="16">
        <v>819434987.66999996</v>
      </c>
      <c r="M26" s="138">
        <f t="shared" si="3"/>
        <v>0.99045649331657815</v>
      </c>
      <c r="N26" s="145">
        <f>+K26-[1]Julio!D25</f>
        <v>-21875828</v>
      </c>
    </row>
    <row r="27" spans="1:14" s="4" customFormat="1" ht="24.95" customHeight="1" x14ac:dyDescent="0.25">
      <c r="A27" s="137">
        <v>101515</v>
      </c>
      <c r="B27" s="157">
        <v>20</v>
      </c>
      <c r="C27" s="109" t="s">
        <v>17</v>
      </c>
      <c r="D27" s="16">
        <v>854498154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f t="shared" si="1"/>
        <v>0</v>
      </c>
      <c r="K27" s="16">
        <f t="shared" si="8"/>
        <v>854498154</v>
      </c>
      <c r="L27" s="16">
        <v>793536946</v>
      </c>
      <c r="M27" s="138">
        <f t="shared" si="3"/>
        <v>0.92865846729494517</v>
      </c>
      <c r="N27" s="145">
        <f>+K27-[1]Julio!D26</f>
        <v>140392597</v>
      </c>
    </row>
    <row r="28" spans="1:14" s="4" customFormat="1" ht="24.95" customHeight="1" x14ac:dyDescent="0.25">
      <c r="A28" s="137">
        <v>101516</v>
      </c>
      <c r="B28" s="157">
        <v>20</v>
      </c>
      <c r="C28" s="109" t="s">
        <v>18</v>
      </c>
      <c r="D28" s="16">
        <v>1803875865</v>
      </c>
      <c r="E28" s="16">
        <v>0</v>
      </c>
      <c r="F28" s="16">
        <v>0</v>
      </c>
      <c r="G28" s="16">
        <v>0</v>
      </c>
      <c r="H28" s="16">
        <v>115000000</v>
      </c>
      <c r="I28" s="16">
        <v>0</v>
      </c>
      <c r="J28" s="16">
        <f t="shared" si="1"/>
        <v>115000000</v>
      </c>
      <c r="K28" s="16">
        <f t="shared" si="8"/>
        <v>1918875865</v>
      </c>
      <c r="L28" s="16">
        <v>1831188408</v>
      </c>
      <c r="M28" s="138">
        <f t="shared" si="3"/>
        <v>0.95430269430169734</v>
      </c>
      <c r="N28" s="145">
        <f>+K28-[1]Julio!D27</f>
        <v>110258382</v>
      </c>
    </row>
    <row r="29" spans="1:14" s="4" customFormat="1" ht="24.95" customHeight="1" x14ac:dyDescent="0.25">
      <c r="A29" s="137">
        <v>101592</v>
      </c>
      <c r="B29" s="157">
        <v>20</v>
      </c>
      <c r="C29" s="109" t="s">
        <v>19</v>
      </c>
      <c r="D29" s="16">
        <v>57620045</v>
      </c>
      <c r="E29" s="16">
        <v>0</v>
      </c>
      <c r="F29" s="16">
        <v>0</v>
      </c>
      <c r="G29" s="16">
        <v>0</v>
      </c>
      <c r="H29" s="16">
        <v>500000</v>
      </c>
      <c r="I29" s="16">
        <v>0</v>
      </c>
      <c r="J29" s="16">
        <f t="shared" si="1"/>
        <v>500000</v>
      </c>
      <c r="K29" s="16">
        <f t="shared" si="8"/>
        <v>58120045</v>
      </c>
      <c r="L29" s="16">
        <v>57869968</v>
      </c>
      <c r="M29" s="138">
        <f t="shared" si="3"/>
        <v>0.99569723320069692</v>
      </c>
      <c r="N29" s="145">
        <f>+K29-[1]Julio!D29</f>
        <v>1451665</v>
      </c>
    </row>
    <row r="30" spans="1:14" s="4" customFormat="1" ht="31.5" x14ac:dyDescent="0.25">
      <c r="A30" s="137">
        <v>1019</v>
      </c>
      <c r="B30" s="108"/>
      <c r="C30" s="109" t="s">
        <v>20</v>
      </c>
      <c r="D30" s="16">
        <f>+D31+D32</f>
        <v>195800000</v>
      </c>
      <c r="E30" s="16">
        <f t="shared" ref="E30:I30" si="11">+E31+E32</f>
        <v>0</v>
      </c>
      <c r="F30" s="16">
        <f t="shared" si="11"/>
        <v>0</v>
      </c>
      <c r="G30" s="16">
        <f t="shared" si="11"/>
        <v>0</v>
      </c>
      <c r="H30" s="16">
        <f t="shared" si="11"/>
        <v>181600000</v>
      </c>
      <c r="I30" s="16">
        <f t="shared" si="11"/>
        <v>76000000</v>
      </c>
      <c r="J30" s="16">
        <f t="shared" si="1"/>
        <v>105600000</v>
      </c>
      <c r="K30" s="16">
        <f t="shared" si="8"/>
        <v>301400000</v>
      </c>
      <c r="L30" s="16">
        <f t="shared" ref="L30" si="12">+L31+L32</f>
        <v>258886185</v>
      </c>
      <c r="M30" s="138">
        <f t="shared" si="3"/>
        <v>0.85894553749170532</v>
      </c>
      <c r="N30" s="145">
        <f>+K30-[1]Julio!D31</f>
        <v>-160202000</v>
      </c>
    </row>
    <row r="31" spans="1:14" s="4" customFormat="1" ht="24.95" customHeight="1" x14ac:dyDescent="0.25">
      <c r="A31" s="137">
        <v>10191</v>
      </c>
      <c r="B31" s="108">
        <v>20</v>
      </c>
      <c r="C31" s="109" t="s">
        <v>21</v>
      </c>
      <c r="D31" s="16">
        <v>104355923</v>
      </c>
      <c r="E31" s="16">
        <v>0</v>
      </c>
      <c r="F31" s="16">
        <v>0</v>
      </c>
      <c r="G31" s="16">
        <v>0</v>
      </c>
      <c r="H31" s="16">
        <v>31000000</v>
      </c>
      <c r="I31" s="16">
        <f>15000000+30000000</f>
        <v>45000000</v>
      </c>
      <c r="J31" s="16">
        <f t="shared" si="1"/>
        <v>-14000000</v>
      </c>
      <c r="K31" s="16">
        <f t="shared" si="8"/>
        <v>90355923</v>
      </c>
      <c r="L31" s="16">
        <v>88550492</v>
      </c>
      <c r="M31" s="138">
        <f t="shared" si="3"/>
        <v>0.98001867569876966</v>
      </c>
      <c r="N31" s="145">
        <f>+K31-[1]Julio!D32</f>
        <v>-20586077</v>
      </c>
    </row>
    <row r="32" spans="1:14" s="4" customFormat="1" ht="24.95" customHeight="1" x14ac:dyDescent="0.25">
      <c r="A32" s="137">
        <v>10193</v>
      </c>
      <c r="B32" s="108">
        <v>20</v>
      </c>
      <c r="C32" s="109" t="s">
        <v>22</v>
      </c>
      <c r="D32" s="16">
        <v>91444077</v>
      </c>
      <c r="E32" s="16">
        <v>0</v>
      </c>
      <c r="F32" s="16">
        <v>0</v>
      </c>
      <c r="G32" s="16">
        <v>0</v>
      </c>
      <c r="H32" s="16">
        <f>15000000+30000000+105600000</f>
        <v>150600000</v>
      </c>
      <c r="I32" s="16">
        <v>31000000</v>
      </c>
      <c r="J32" s="16">
        <f t="shared" si="1"/>
        <v>119600000</v>
      </c>
      <c r="K32" s="16">
        <f t="shared" si="8"/>
        <v>211044077</v>
      </c>
      <c r="L32" s="16">
        <v>170335693</v>
      </c>
      <c r="M32" s="138">
        <f t="shared" si="3"/>
        <v>0.80710956413147761</v>
      </c>
      <c r="N32" s="145">
        <f>+K32-[1]Julio!D33</f>
        <v>-139615923</v>
      </c>
    </row>
    <row r="33" spans="1:16" s="4" customFormat="1" ht="31.5" x14ac:dyDescent="0.25">
      <c r="A33" s="137">
        <v>10110</v>
      </c>
      <c r="B33" s="108">
        <v>20</v>
      </c>
      <c r="C33" s="109" t="s">
        <v>23</v>
      </c>
      <c r="D33" s="16">
        <v>1235100000</v>
      </c>
      <c r="E33" s="16">
        <v>0</v>
      </c>
      <c r="F33" s="16">
        <v>0</v>
      </c>
      <c r="G33" s="16">
        <v>0</v>
      </c>
      <c r="H33" s="16">
        <v>0</v>
      </c>
      <c r="I33" s="16">
        <v>1235100000</v>
      </c>
      <c r="J33" s="16">
        <f t="shared" si="1"/>
        <v>-1235100000</v>
      </c>
      <c r="K33" s="16">
        <f t="shared" si="8"/>
        <v>0</v>
      </c>
      <c r="L33" s="16">
        <v>0</v>
      </c>
      <c r="M33" s="138" t="s">
        <v>155</v>
      </c>
      <c r="N33" s="145"/>
    </row>
    <row r="34" spans="1:16" s="4" customFormat="1" ht="24.95" customHeight="1" x14ac:dyDescent="0.25">
      <c r="A34" s="137">
        <v>102</v>
      </c>
      <c r="B34" s="108"/>
      <c r="C34" s="109" t="s">
        <v>24</v>
      </c>
      <c r="D34" s="16">
        <f>SUM(D35:D39)</f>
        <v>9811968331</v>
      </c>
      <c r="E34" s="16">
        <f t="shared" ref="E34:I34" si="13">SUM(E35:E39)</f>
        <v>0</v>
      </c>
      <c r="F34" s="16">
        <f t="shared" si="13"/>
        <v>0</v>
      </c>
      <c r="G34" s="16">
        <f t="shared" si="13"/>
        <v>0</v>
      </c>
      <c r="H34" s="16">
        <f t="shared" si="13"/>
        <v>2402953757</v>
      </c>
      <c r="I34" s="16">
        <f t="shared" si="13"/>
        <v>2402953757</v>
      </c>
      <c r="J34" s="16">
        <f t="shared" si="1"/>
        <v>0</v>
      </c>
      <c r="K34" s="16">
        <f t="shared" si="8"/>
        <v>9811968331</v>
      </c>
      <c r="L34" s="16">
        <f>SUM(L35:L39)</f>
        <v>9807620486.9599991</v>
      </c>
      <c r="M34" s="138">
        <f t="shared" si="3"/>
        <v>0.99955688360445838</v>
      </c>
      <c r="N34" s="145">
        <f>+K34-[1]Julio!D34</f>
        <v>774042392</v>
      </c>
    </row>
    <row r="35" spans="1:16" s="4" customFormat="1" ht="24.95" customHeight="1" x14ac:dyDescent="0.25">
      <c r="A35" s="137">
        <v>10212</v>
      </c>
      <c r="B35" s="108">
        <v>20</v>
      </c>
      <c r="C35" s="109" t="s">
        <v>25</v>
      </c>
      <c r="D35" s="16">
        <v>171000000</v>
      </c>
      <c r="E35" s="16">
        <v>0</v>
      </c>
      <c r="F35" s="16">
        <v>0</v>
      </c>
      <c r="G35" s="16">
        <v>0</v>
      </c>
      <c r="H35" s="16">
        <f>70000000+9017356+186143648</f>
        <v>265161004</v>
      </c>
      <c r="I35" s="16">
        <f>37199528+6499142</f>
        <v>43698670</v>
      </c>
      <c r="J35" s="16">
        <f t="shared" si="1"/>
        <v>221462334</v>
      </c>
      <c r="K35" s="16">
        <f t="shared" si="8"/>
        <v>392462334</v>
      </c>
      <c r="L35" s="16">
        <v>391817984</v>
      </c>
      <c r="M35" s="138">
        <f t="shared" si="3"/>
        <v>0.99835818639349982</v>
      </c>
      <c r="N35" s="145">
        <f>+K35-[1]Julio!D35</f>
        <v>-53207097</v>
      </c>
    </row>
    <row r="36" spans="1:16" s="4" customFormat="1" ht="24.95" customHeight="1" x14ac:dyDescent="0.25">
      <c r="A36" s="137">
        <v>10212</v>
      </c>
      <c r="B36" s="108">
        <v>21</v>
      </c>
      <c r="C36" s="109" t="s">
        <v>25</v>
      </c>
      <c r="D36" s="16">
        <v>0</v>
      </c>
      <c r="E36" s="16">
        <v>0</v>
      </c>
      <c r="F36" s="16">
        <v>0</v>
      </c>
      <c r="G36" s="16">
        <v>0</v>
      </c>
      <c r="H36" s="16">
        <f>2000000000+88000000</f>
        <v>2088000000</v>
      </c>
      <c r="I36" s="16">
        <v>0</v>
      </c>
      <c r="J36" s="16">
        <f t="shared" si="1"/>
        <v>2088000000</v>
      </c>
      <c r="K36" s="16">
        <f t="shared" si="8"/>
        <v>2088000000</v>
      </c>
      <c r="L36" s="16">
        <v>2088000000</v>
      </c>
      <c r="M36" s="138">
        <f t="shared" si="3"/>
        <v>1</v>
      </c>
      <c r="N36" s="145"/>
    </row>
    <row r="37" spans="1:16" s="4" customFormat="1" ht="24.95" customHeight="1" x14ac:dyDescent="0.25">
      <c r="A37" s="137">
        <v>10214</v>
      </c>
      <c r="B37" s="108">
        <v>20</v>
      </c>
      <c r="C37" s="109" t="s">
        <v>26</v>
      </c>
      <c r="D37" s="16">
        <v>5370750000</v>
      </c>
      <c r="E37" s="16">
        <v>0</v>
      </c>
      <c r="F37" s="16">
        <v>0</v>
      </c>
      <c r="G37" s="16">
        <v>0</v>
      </c>
      <c r="H37" s="16">
        <f>37199528+6499142</f>
        <v>43698670</v>
      </c>
      <c r="I37" s="16">
        <f>70000000+9017356+186143648</f>
        <v>265161004</v>
      </c>
      <c r="J37" s="16">
        <f t="shared" si="1"/>
        <v>-221462334</v>
      </c>
      <c r="K37" s="16">
        <f t="shared" si="8"/>
        <v>5149287666</v>
      </c>
      <c r="L37" s="16">
        <v>5149287666</v>
      </c>
      <c r="M37" s="138">
        <f t="shared" si="3"/>
        <v>1</v>
      </c>
      <c r="N37" s="145">
        <f>+K37-[1]Julio!D36</f>
        <v>-3442968842</v>
      </c>
      <c r="P37" s="146">
        <f>+M37-5329252337</f>
        <v>-5329252336</v>
      </c>
    </row>
    <row r="38" spans="1:16" s="4" customFormat="1" ht="24.95" customHeight="1" x14ac:dyDescent="0.25">
      <c r="A38" s="137">
        <v>10214</v>
      </c>
      <c r="B38" s="108">
        <v>21</v>
      </c>
      <c r="C38" s="109" t="s">
        <v>26</v>
      </c>
      <c r="D38" s="16">
        <v>4270218331</v>
      </c>
      <c r="E38" s="16">
        <v>0</v>
      </c>
      <c r="F38" s="16">
        <v>0</v>
      </c>
      <c r="G38" s="16">
        <v>0</v>
      </c>
      <c r="H38" s="16">
        <v>0</v>
      </c>
      <c r="I38" s="16">
        <f>2000000000+88000000+1828225+4265858</f>
        <v>2094094083</v>
      </c>
      <c r="J38" s="16">
        <f t="shared" si="1"/>
        <v>-2094094083</v>
      </c>
      <c r="K38" s="16">
        <f t="shared" si="8"/>
        <v>2176124248</v>
      </c>
      <c r="L38" s="16">
        <v>2172420753.96</v>
      </c>
      <c r="M38" s="138" t="s">
        <v>155</v>
      </c>
      <c r="N38" s="145"/>
    </row>
    <row r="39" spans="1:16" s="4" customFormat="1" ht="33.75" customHeight="1" x14ac:dyDescent="0.25">
      <c r="A39" s="137">
        <v>102999</v>
      </c>
      <c r="B39" s="108">
        <v>21</v>
      </c>
      <c r="C39" s="109" t="s">
        <v>194</v>
      </c>
      <c r="D39" s="16">
        <v>0</v>
      </c>
      <c r="E39" s="16">
        <v>0</v>
      </c>
      <c r="F39" s="16">
        <v>0</v>
      </c>
      <c r="G39" s="16">
        <v>0</v>
      </c>
      <c r="H39" s="16">
        <f>1828225+4265858</f>
        <v>6094083</v>
      </c>
      <c r="I39" s="16">
        <v>0</v>
      </c>
      <c r="J39" s="16">
        <f t="shared" si="1"/>
        <v>6094083</v>
      </c>
      <c r="K39" s="16">
        <f t="shared" si="8"/>
        <v>6094083</v>
      </c>
      <c r="L39" s="16">
        <v>6094083</v>
      </c>
      <c r="M39" s="138">
        <f t="shared" si="3"/>
        <v>1</v>
      </c>
      <c r="N39" s="145"/>
    </row>
    <row r="40" spans="1:16" s="4" customFormat="1" ht="31.5" customHeight="1" x14ac:dyDescent="0.25">
      <c r="A40" s="137">
        <v>105</v>
      </c>
      <c r="B40" s="108"/>
      <c r="C40" s="109" t="s">
        <v>27</v>
      </c>
      <c r="D40" s="16">
        <f>+D41+D45+D49+D50</f>
        <v>8124200000</v>
      </c>
      <c r="E40" s="16">
        <f t="shared" ref="E40:I40" si="14">+E41+E45+E49+E50</f>
        <v>0</v>
      </c>
      <c r="F40" s="16">
        <f t="shared" si="14"/>
        <v>0</v>
      </c>
      <c r="G40" s="16">
        <f t="shared" si="14"/>
        <v>0</v>
      </c>
      <c r="H40" s="16">
        <f t="shared" si="14"/>
        <v>657600000</v>
      </c>
      <c r="I40" s="16">
        <f t="shared" si="14"/>
        <v>257300000</v>
      </c>
      <c r="J40" s="16">
        <f t="shared" si="1"/>
        <v>400300000</v>
      </c>
      <c r="K40" s="16">
        <f t="shared" si="8"/>
        <v>8524500000</v>
      </c>
      <c r="L40" s="16">
        <f t="shared" ref="L40" si="15">+L41+L45+L49+L50</f>
        <v>8287205390</v>
      </c>
      <c r="M40" s="138">
        <f t="shared" si="3"/>
        <v>0.97216322247639153</v>
      </c>
      <c r="N40" s="145">
        <f>+K40-8124200000</f>
        <v>400300000</v>
      </c>
    </row>
    <row r="41" spans="1:16" s="4" customFormat="1" ht="31.5" x14ac:dyDescent="0.25">
      <c r="A41" s="137">
        <v>1051</v>
      </c>
      <c r="B41" s="108"/>
      <c r="C41" s="109" t="s">
        <v>28</v>
      </c>
      <c r="D41" s="16">
        <f>+D42+D43+D44</f>
        <v>4311392071</v>
      </c>
      <c r="E41" s="16">
        <f t="shared" ref="E41:I41" si="16">+E42+E43+E44</f>
        <v>0</v>
      </c>
      <c r="F41" s="16">
        <f t="shared" si="16"/>
        <v>0</v>
      </c>
      <c r="G41" s="16">
        <f t="shared" si="16"/>
        <v>0</v>
      </c>
      <c r="H41" s="16">
        <f t="shared" si="16"/>
        <v>130100000</v>
      </c>
      <c r="I41" s="16">
        <f t="shared" si="16"/>
        <v>109300000</v>
      </c>
      <c r="J41" s="16">
        <f t="shared" si="1"/>
        <v>20800000</v>
      </c>
      <c r="K41" s="16">
        <f t="shared" si="8"/>
        <v>4332192071</v>
      </c>
      <c r="L41" s="16">
        <f t="shared" ref="L41" si="17">+L42+L43+L44</f>
        <v>4152345714</v>
      </c>
      <c r="M41" s="138">
        <f t="shared" si="3"/>
        <v>0.95848606108581746</v>
      </c>
      <c r="N41" s="145">
        <f>+K41-[1]Julio!D38</f>
        <v>164310045</v>
      </c>
    </row>
    <row r="42" spans="1:16" s="4" customFormat="1" ht="24.95" customHeight="1" x14ac:dyDescent="0.25">
      <c r="A42" s="137">
        <v>10511</v>
      </c>
      <c r="B42" s="108">
        <v>20</v>
      </c>
      <c r="C42" s="109" t="s">
        <v>29</v>
      </c>
      <c r="D42" s="16">
        <v>860101530</v>
      </c>
      <c r="E42" s="16">
        <v>0</v>
      </c>
      <c r="F42" s="16">
        <v>0</v>
      </c>
      <c r="G42" s="16">
        <v>0</v>
      </c>
      <c r="H42" s="16">
        <v>84000000</v>
      </c>
      <c r="I42" s="16">
        <v>0</v>
      </c>
      <c r="J42" s="16">
        <f t="shared" si="1"/>
        <v>84000000</v>
      </c>
      <c r="K42" s="16">
        <f t="shared" si="8"/>
        <v>944101530</v>
      </c>
      <c r="L42" s="16">
        <v>860368280</v>
      </c>
      <c r="M42" s="138">
        <f t="shared" si="3"/>
        <v>0.91130906227850306</v>
      </c>
      <c r="N42" s="145">
        <f>+K42-[1]Julio!D39</f>
        <v>55956091</v>
      </c>
    </row>
    <row r="43" spans="1:16" s="4" customFormat="1" ht="31.5" x14ac:dyDescent="0.25">
      <c r="A43" s="137">
        <v>10513</v>
      </c>
      <c r="B43" s="108">
        <v>20</v>
      </c>
      <c r="C43" s="109" t="s">
        <v>30</v>
      </c>
      <c r="D43" s="16">
        <v>1717588056</v>
      </c>
      <c r="E43" s="16">
        <v>0</v>
      </c>
      <c r="F43" s="16">
        <v>0</v>
      </c>
      <c r="G43" s="16">
        <v>0</v>
      </c>
      <c r="H43" s="16">
        <v>0</v>
      </c>
      <c r="I43" s="16">
        <v>109300000</v>
      </c>
      <c r="J43" s="16">
        <f t="shared" si="1"/>
        <v>-109300000</v>
      </c>
      <c r="K43" s="16">
        <f t="shared" si="8"/>
        <v>1608288056</v>
      </c>
      <c r="L43" s="16">
        <v>1548754742</v>
      </c>
      <c r="M43" s="138">
        <f t="shared" si="3"/>
        <v>0.9629834258994211</v>
      </c>
      <c r="N43" s="145">
        <f>+K43-[1]Julio!D40</f>
        <v>-106363169</v>
      </c>
    </row>
    <row r="44" spans="1:16" s="4" customFormat="1" ht="31.5" x14ac:dyDescent="0.25">
      <c r="A44" s="137">
        <v>10514</v>
      </c>
      <c r="B44" s="108">
        <v>20</v>
      </c>
      <c r="C44" s="109" t="s">
        <v>31</v>
      </c>
      <c r="D44" s="16">
        <v>1733702485</v>
      </c>
      <c r="E44" s="16">
        <v>0</v>
      </c>
      <c r="F44" s="16">
        <v>0</v>
      </c>
      <c r="G44" s="16">
        <v>0</v>
      </c>
      <c r="H44" s="16">
        <v>46100000</v>
      </c>
      <c r="I44" s="16">
        <v>0</v>
      </c>
      <c r="J44" s="16">
        <f t="shared" si="1"/>
        <v>46100000</v>
      </c>
      <c r="K44" s="16">
        <f t="shared" si="8"/>
        <v>1779802485</v>
      </c>
      <c r="L44" s="16">
        <v>1743222692</v>
      </c>
      <c r="M44" s="138">
        <f t="shared" si="3"/>
        <v>0.97944727389230501</v>
      </c>
      <c r="N44" s="145">
        <f>+K44-[1]Julio!D41</f>
        <v>214717123</v>
      </c>
    </row>
    <row r="45" spans="1:16" s="4" customFormat="1" ht="31.5" x14ac:dyDescent="0.25">
      <c r="A45" s="137">
        <v>1052</v>
      </c>
      <c r="B45" s="108"/>
      <c r="C45" s="109" t="s">
        <v>32</v>
      </c>
      <c r="D45" s="16">
        <f>+D46+D47+D48</f>
        <v>2715102897</v>
      </c>
      <c r="E45" s="16">
        <f t="shared" ref="E45:I45" si="18">+E46+E47+E48</f>
        <v>0</v>
      </c>
      <c r="F45" s="16">
        <f t="shared" si="18"/>
        <v>0</v>
      </c>
      <c r="G45" s="16">
        <f t="shared" si="18"/>
        <v>0</v>
      </c>
      <c r="H45" s="16">
        <f t="shared" si="18"/>
        <v>504500000</v>
      </c>
      <c r="I45" s="16">
        <f t="shared" si="18"/>
        <v>120000000</v>
      </c>
      <c r="J45" s="16">
        <f t="shared" si="1"/>
        <v>384500000</v>
      </c>
      <c r="K45" s="16">
        <f t="shared" si="8"/>
        <v>3099602897</v>
      </c>
      <c r="L45" s="16">
        <f t="shared" ref="L45" si="19">+L46+L47+L48</f>
        <v>3059379986</v>
      </c>
      <c r="M45" s="138">
        <f t="shared" si="3"/>
        <v>0.98702320512123332</v>
      </c>
      <c r="N45" s="145">
        <f>+K45-[1]Julio!D42</f>
        <v>221487300</v>
      </c>
    </row>
    <row r="46" spans="1:16" s="4" customFormat="1" ht="24.95" customHeight="1" x14ac:dyDescent="0.25">
      <c r="A46" s="137">
        <v>10522</v>
      </c>
      <c r="B46" s="108">
        <v>20</v>
      </c>
      <c r="C46" s="109" t="s">
        <v>33</v>
      </c>
      <c r="D46" s="16">
        <v>1902933288</v>
      </c>
      <c r="E46" s="16">
        <v>0</v>
      </c>
      <c r="F46" s="16">
        <v>0</v>
      </c>
      <c r="G46" s="16">
        <v>0</v>
      </c>
      <c r="H46" s="16">
        <f>248000000+28000000</f>
        <v>276000000</v>
      </c>
      <c r="I46" s="16">
        <v>120000000</v>
      </c>
      <c r="J46" s="16">
        <f t="shared" si="1"/>
        <v>156000000</v>
      </c>
      <c r="K46" s="16">
        <f t="shared" si="8"/>
        <v>2058933288</v>
      </c>
      <c r="L46" s="16">
        <v>2057338080</v>
      </c>
      <c r="M46" s="138">
        <f t="shared" si="3"/>
        <v>0.99922522598993502</v>
      </c>
      <c r="N46" s="145">
        <f>+K46-[1]Julio!D43</f>
        <v>54856757</v>
      </c>
    </row>
    <row r="47" spans="1:16" s="4" customFormat="1" ht="31.5" x14ac:dyDescent="0.25">
      <c r="A47" s="137">
        <v>10523</v>
      </c>
      <c r="B47" s="108">
        <v>20</v>
      </c>
      <c r="C47" s="109" t="s">
        <v>34</v>
      </c>
      <c r="D47" s="16">
        <v>706233455</v>
      </c>
      <c r="E47" s="16">
        <v>0</v>
      </c>
      <c r="F47" s="16">
        <v>0</v>
      </c>
      <c r="G47" s="16">
        <v>0</v>
      </c>
      <c r="H47" s="16">
        <f>120000000+100500000</f>
        <v>220500000</v>
      </c>
      <c r="I47" s="16">
        <v>0</v>
      </c>
      <c r="J47" s="16">
        <f t="shared" si="1"/>
        <v>220500000</v>
      </c>
      <c r="K47" s="16">
        <f t="shared" si="8"/>
        <v>926733455</v>
      </c>
      <c r="L47" s="16">
        <v>899056800</v>
      </c>
      <c r="M47" s="138">
        <f t="shared" si="3"/>
        <v>0.97013525857874638</v>
      </c>
      <c r="N47" s="145">
        <f>+K47-[1]Julio!D44</f>
        <v>159540049</v>
      </c>
    </row>
    <row r="48" spans="1:16" s="4" customFormat="1" ht="63" x14ac:dyDescent="0.25">
      <c r="A48" s="137">
        <v>10527</v>
      </c>
      <c r="B48" s="108">
        <v>20</v>
      </c>
      <c r="C48" s="109" t="s">
        <v>35</v>
      </c>
      <c r="D48" s="16">
        <v>105936154</v>
      </c>
      <c r="E48" s="16">
        <v>0</v>
      </c>
      <c r="F48" s="16">
        <v>0</v>
      </c>
      <c r="G48" s="16">
        <v>0</v>
      </c>
      <c r="H48" s="16">
        <v>8000000</v>
      </c>
      <c r="I48" s="16">
        <v>0</v>
      </c>
      <c r="J48" s="16">
        <f t="shared" si="1"/>
        <v>8000000</v>
      </c>
      <c r="K48" s="16">
        <f t="shared" si="8"/>
        <v>113936154</v>
      </c>
      <c r="L48" s="16">
        <v>102985106</v>
      </c>
      <c r="M48" s="138">
        <f t="shared" si="3"/>
        <v>0.90388434561342135</v>
      </c>
      <c r="N48" s="145">
        <f>+K48-[1]Julio!D45</f>
        <v>7090494</v>
      </c>
    </row>
    <row r="49" spans="1:51" s="4" customFormat="1" ht="24.95" customHeight="1" x14ac:dyDescent="0.25">
      <c r="A49" s="137">
        <v>1056</v>
      </c>
      <c r="B49" s="108">
        <v>20</v>
      </c>
      <c r="C49" s="109" t="s">
        <v>36</v>
      </c>
      <c r="D49" s="16">
        <v>650114140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f t="shared" si="1"/>
        <v>0</v>
      </c>
      <c r="K49" s="16">
        <f t="shared" si="8"/>
        <v>650114140</v>
      </c>
      <c r="L49" s="16">
        <v>645284990</v>
      </c>
      <c r="M49" s="138">
        <f t="shared" si="3"/>
        <v>0.99257184284593469</v>
      </c>
      <c r="N49" s="145">
        <f>+K49-[1]Julio!D46</f>
        <v>10492465</v>
      </c>
    </row>
    <row r="50" spans="1:51" s="4" customFormat="1" ht="24.95" customHeight="1" x14ac:dyDescent="0.25">
      <c r="A50" s="137">
        <v>1057</v>
      </c>
      <c r="B50" s="108">
        <v>20</v>
      </c>
      <c r="C50" s="109" t="s">
        <v>37</v>
      </c>
      <c r="D50" s="16">
        <v>447590892</v>
      </c>
      <c r="E50" s="16">
        <v>0</v>
      </c>
      <c r="F50" s="16">
        <v>0</v>
      </c>
      <c r="G50" s="16">
        <v>0</v>
      </c>
      <c r="H50" s="16">
        <v>23000000</v>
      </c>
      <c r="I50" s="16">
        <v>28000000</v>
      </c>
      <c r="J50" s="16">
        <f t="shared" si="1"/>
        <v>-5000000</v>
      </c>
      <c r="K50" s="16">
        <f t="shared" si="8"/>
        <v>442590892</v>
      </c>
      <c r="L50" s="16">
        <v>430194700</v>
      </c>
      <c r="M50" s="138">
        <f t="shared" si="3"/>
        <v>0.97199175983043051</v>
      </c>
      <c r="N50" s="145">
        <f>+K50-[1]Julio!D47</f>
        <v>-1481810</v>
      </c>
    </row>
    <row r="51" spans="1:51" s="4" customFormat="1" ht="24.95" customHeight="1" x14ac:dyDescent="0.25">
      <c r="A51" s="137">
        <v>2</v>
      </c>
      <c r="B51" s="108"/>
      <c r="C51" s="109" t="s">
        <v>38</v>
      </c>
      <c r="D51" s="16">
        <f>+D52</f>
        <v>8748090000</v>
      </c>
      <c r="E51" s="16">
        <f t="shared" ref="E51:I51" si="20">+E52</f>
        <v>0</v>
      </c>
      <c r="F51" s="16">
        <f t="shared" si="20"/>
        <v>0</v>
      </c>
      <c r="G51" s="16">
        <f t="shared" si="20"/>
        <v>0</v>
      </c>
      <c r="H51" s="16">
        <f t="shared" si="20"/>
        <v>213304082</v>
      </c>
      <c r="I51" s="16">
        <f t="shared" si="20"/>
        <v>466482082</v>
      </c>
      <c r="J51" s="16">
        <f t="shared" si="1"/>
        <v>-253178000</v>
      </c>
      <c r="K51" s="16">
        <f t="shared" si="8"/>
        <v>8494912000</v>
      </c>
      <c r="L51" s="16">
        <f>+L52</f>
        <v>8364806201.0100002</v>
      </c>
      <c r="M51" s="138">
        <f t="shared" si="3"/>
        <v>0.98468426759570904</v>
      </c>
      <c r="N51" s="145">
        <f>+K51-[1]Julio!D57</f>
        <v>-942088000</v>
      </c>
      <c r="AY51" s="146"/>
    </row>
    <row r="52" spans="1:51" s="4" customFormat="1" ht="24.95" customHeight="1" x14ac:dyDescent="0.25">
      <c r="A52" s="137">
        <v>20</v>
      </c>
      <c r="B52" s="108"/>
      <c r="C52" s="109" t="s">
        <v>38</v>
      </c>
      <c r="D52" s="16">
        <f>+D53+D57</f>
        <v>8748090000</v>
      </c>
      <c r="E52" s="16">
        <f t="shared" ref="E52:I52" si="21">+E53+E57</f>
        <v>0</v>
      </c>
      <c r="F52" s="16">
        <f t="shared" si="21"/>
        <v>0</v>
      </c>
      <c r="G52" s="16">
        <f t="shared" si="21"/>
        <v>0</v>
      </c>
      <c r="H52" s="16">
        <f t="shared" si="21"/>
        <v>213304082</v>
      </c>
      <c r="I52" s="16">
        <f t="shared" si="21"/>
        <v>466482082</v>
      </c>
      <c r="J52" s="16">
        <f t="shared" si="1"/>
        <v>-253178000</v>
      </c>
      <c r="K52" s="16">
        <f>D52+J52</f>
        <v>8494912000</v>
      </c>
      <c r="L52" s="16">
        <f>+L53+L57</f>
        <v>8364806201.0100002</v>
      </c>
      <c r="M52" s="138">
        <f t="shared" si="3"/>
        <v>0.98468426759570904</v>
      </c>
      <c r="N52" s="145">
        <f>+K52-[1]Julio!D58</f>
        <v>-942088000</v>
      </c>
    </row>
    <row r="53" spans="1:51" s="4" customFormat="1" ht="24.95" customHeight="1" x14ac:dyDescent="0.25">
      <c r="A53" s="137">
        <v>203</v>
      </c>
      <c r="B53" s="108"/>
      <c r="C53" s="109" t="s">
        <v>39</v>
      </c>
      <c r="D53" s="16">
        <f>+D54</f>
        <v>18400000</v>
      </c>
      <c r="E53" s="16">
        <f t="shared" ref="E53:I53" si="22">+E54</f>
        <v>0</v>
      </c>
      <c r="F53" s="16">
        <f t="shared" si="22"/>
        <v>0</v>
      </c>
      <c r="G53" s="16">
        <f t="shared" si="22"/>
        <v>0</v>
      </c>
      <c r="H53" s="16">
        <f t="shared" si="22"/>
        <v>0</v>
      </c>
      <c r="I53" s="16">
        <f t="shared" si="22"/>
        <v>16178000</v>
      </c>
      <c r="J53" s="16">
        <f t="shared" si="1"/>
        <v>-16178000</v>
      </c>
      <c r="K53" s="16">
        <f>D53+J53</f>
        <v>2222000</v>
      </c>
      <c r="L53" s="16">
        <f t="shared" ref="L53" si="23">+L54</f>
        <v>2222000</v>
      </c>
      <c r="M53" s="138">
        <f t="shared" si="3"/>
        <v>1</v>
      </c>
      <c r="N53" s="145">
        <f>+K53-[1]Julio!D59</f>
        <v>-15678000</v>
      </c>
    </row>
    <row r="54" spans="1:51" s="4" customFormat="1" ht="24.95" customHeight="1" x14ac:dyDescent="0.25">
      <c r="A54" s="137">
        <v>20350</v>
      </c>
      <c r="B54" s="108"/>
      <c r="C54" s="109" t="s">
        <v>40</v>
      </c>
      <c r="D54" s="16">
        <f>+D55+D56</f>
        <v>18400000</v>
      </c>
      <c r="E54" s="16">
        <f t="shared" ref="E54:I54" si="24">+E55+E56</f>
        <v>0</v>
      </c>
      <c r="F54" s="16">
        <f t="shared" si="24"/>
        <v>0</v>
      </c>
      <c r="G54" s="16">
        <f t="shared" si="24"/>
        <v>0</v>
      </c>
      <c r="H54" s="16">
        <f t="shared" si="24"/>
        <v>0</v>
      </c>
      <c r="I54" s="16">
        <f t="shared" si="24"/>
        <v>16178000</v>
      </c>
      <c r="J54" s="16">
        <f t="shared" si="1"/>
        <v>-16178000</v>
      </c>
      <c r="K54" s="16">
        <f t="shared" si="8"/>
        <v>2222000</v>
      </c>
      <c r="L54" s="16">
        <f t="shared" ref="L54" si="25">+L55+L56</f>
        <v>2222000</v>
      </c>
      <c r="M54" s="138">
        <f t="shared" si="3"/>
        <v>1</v>
      </c>
      <c r="N54" s="145">
        <f>+K54-[1]Julio!D60</f>
        <v>-15678000</v>
      </c>
    </row>
    <row r="55" spans="1:51" s="4" customFormat="1" ht="24.95" customHeight="1" x14ac:dyDescent="0.25">
      <c r="A55" s="137">
        <v>203502</v>
      </c>
      <c r="B55" s="108">
        <v>20</v>
      </c>
      <c r="C55" s="109" t="s">
        <v>41</v>
      </c>
      <c r="D55" s="16">
        <v>17898000</v>
      </c>
      <c r="E55" s="16">
        <v>0</v>
      </c>
      <c r="F55" s="16">
        <v>0</v>
      </c>
      <c r="G55" s="16">
        <v>0</v>
      </c>
      <c r="H55" s="16">
        <v>0</v>
      </c>
      <c r="I55" s="16">
        <v>15676000</v>
      </c>
      <c r="J55" s="16">
        <f t="shared" si="1"/>
        <v>-15676000</v>
      </c>
      <c r="K55" s="16">
        <f t="shared" si="8"/>
        <v>2222000</v>
      </c>
      <c r="L55" s="16">
        <v>2222000</v>
      </c>
      <c r="M55" s="138">
        <f t="shared" si="3"/>
        <v>1</v>
      </c>
      <c r="N55" s="145">
        <f>+K55-[1]Julio!D61</f>
        <v>1222000</v>
      </c>
    </row>
    <row r="56" spans="1:51" s="4" customFormat="1" ht="24.95" customHeight="1" x14ac:dyDescent="0.25">
      <c r="A56" s="137">
        <v>203503</v>
      </c>
      <c r="B56" s="108">
        <v>20</v>
      </c>
      <c r="C56" s="109" t="s">
        <v>42</v>
      </c>
      <c r="D56" s="16">
        <v>502000</v>
      </c>
      <c r="E56" s="16">
        <v>0</v>
      </c>
      <c r="F56" s="16">
        <v>0</v>
      </c>
      <c r="G56" s="16">
        <v>0</v>
      </c>
      <c r="H56" s="16">
        <v>0</v>
      </c>
      <c r="I56" s="16">
        <v>502000</v>
      </c>
      <c r="J56" s="16">
        <f t="shared" si="1"/>
        <v>-502000</v>
      </c>
      <c r="K56" s="16">
        <f t="shared" si="8"/>
        <v>0</v>
      </c>
      <c r="L56" s="16">
        <v>0</v>
      </c>
      <c r="M56" s="138" t="s">
        <v>155</v>
      </c>
      <c r="N56" s="145">
        <f>+K56-[1]Julio!D62</f>
        <v>-16900000</v>
      </c>
    </row>
    <row r="57" spans="1:51" s="4" customFormat="1" ht="24.95" customHeight="1" x14ac:dyDescent="0.25">
      <c r="A57" s="137">
        <v>204</v>
      </c>
      <c r="B57" s="108"/>
      <c r="C57" s="109" t="s">
        <v>43</v>
      </c>
      <c r="D57" s="16">
        <f t="shared" ref="D57:I57" si="26">+D58+D64+D67+D78+D87+D92+D95+D100+D105+D108+D111+D112+D115+D117</f>
        <v>8729690000</v>
      </c>
      <c r="E57" s="16">
        <f t="shared" si="26"/>
        <v>0</v>
      </c>
      <c r="F57" s="16">
        <f t="shared" si="26"/>
        <v>0</v>
      </c>
      <c r="G57" s="16">
        <f t="shared" si="26"/>
        <v>0</v>
      </c>
      <c r="H57" s="16">
        <f t="shared" si="26"/>
        <v>213304082</v>
      </c>
      <c r="I57" s="16">
        <f t="shared" si="26"/>
        <v>450304082</v>
      </c>
      <c r="J57" s="16">
        <f t="shared" si="1"/>
        <v>-237000000</v>
      </c>
      <c r="K57" s="16">
        <f t="shared" si="8"/>
        <v>8492690000</v>
      </c>
      <c r="L57" s="16">
        <f>+L58+L64+L67+L78+L87+L92+L95+L100+L105+L108+L111+L112+L115+L1167+L117</f>
        <v>8362584201.0100002</v>
      </c>
      <c r="M57" s="138">
        <f t="shared" si="3"/>
        <v>0.98468026043691692</v>
      </c>
      <c r="N57" s="145">
        <f>+K57-[1]Julio!D63</f>
        <v>-926410000</v>
      </c>
    </row>
    <row r="58" spans="1:51" s="4" customFormat="1" ht="24.95" customHeight="1" x14ac:dyDescent="0.25">
      <c r="A58" s="137">
        <v>2041</v>
      </c>
      <c r="B58" s="108"/>
      <c r="C58" s="109" t="s">
        <v>131</v>
      </c>
      <c r="D58" s="16">
        <f>SUM(D59:D63)</f>
        <v>0</v>
      </c>
      <c r="E58" s="16">
        <f t="shared" ref="E58:I58" si="27">SUM(E59:E63)</f>
        <v>0</v>
      </c>
      <c r="F58" s="16">
        <f t="shared" si="27"/>
        <v>0</v>
      </c>
      <c r="G58" s="16">
        <f t="shared" si="27"/>
        <v>0</v>
      </c>
      <c r="H58" s="16">
        <f t="shared" si="27"/>
        <v>1760000</v>
      </c>
      <c r="I58" s="16">
        <f t="shared" si="27"/>
        <v>0</v>
      </c>
      <c r="J58" s="16">
        <f t="shared" si="1"/>
        <v>1760000</v>
      </c>
      <c r="K58" s="16">
        <f t="shared" si="8"/>
        <v>1760000</v>
      </c>
      <c r="L58" s="16">
        <f t="shared" ref="L58" si="28">SUM(L59:L63)</f>
        <v>1735360</v>
      </c>
      <c r="M58" s="138">
        <f t="shared" si="3"/>
        <v>0.98599999999999999</v>
      </c>
      <c r="N58" s="145"/>
    </row>
    <row r="59" spans="1:51" s="4" customFormat="1" ht="24.95" customHeight="1" x14ac:dyDescent="0.25">
      <c r="A59" s="137">
        <v>20414</v>
      </c>
      <c r="B59" s="108">
        <v>20</v>
      </c>
      <c r="C59" s="109" t="s">
        <v>132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f t="shared" si="1"/>
        <v>0</v>
      </c>
      <c r="K59" s="16">
        <f t="shared" si="8"/>
        <v>0</v>
      </c>
      <c r="L59" s="16">
        <v>0</v>
      </c>
      <c r="M59" s="138" t="s">
        <v>156</v>
      </c>
      <c r="N59" s="145"/>
    </row>
    <row r="60" spans="1:51" s="4" customFormat="1" ht="24.95" customHeight="1" x14ac:dyDescent="0.25">
      <c r="A60" s="137">
        <v>20416</v>
      </c>
      <c r="B60" s="108">
        <v>20</v>
      </c>
      <c r="C60" s="109" t="s">
        <v>133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f t="shared" si="1"/>
        <v>0</v>
      </c>
      <c r="K60" s="16">
        <f t="shared" si="8"/>
        <v>0</v>
      </c>
      <c r="L60" s="16">
        <v>0</v>
      </c>
      <c r="M60" s="138" t="s">
        <v>156</v>
      </c>
      <c r="N60" s="145"/>
    </row>
    <row r="61" spans="1:51" s="4" customFormat="1" ht="24.95" customHeight="1" x14ac:dyDescent="0.25">
      <c r="A61" s="137">
        <v>20418</v>
      </c>
      <c r="B61" s="108">
        <v>20</v>
      </c>
      <c r="C61" s="109" t="s">
        <v>134</v>
      </c>
      <c r="D61" s="16">
        <v>0</v>
      </c>
      <c r="E61" s="16">
        <v>0</v>
      </c>
      <c r="F61" s="16">
        <v>0</v>
      </c>
      <c r="G61" s="16">
        <v>0</v>
      </c>
      <c r="H61" s="16">
        <v>1760000</v>
      </c>
      <c r="I61" s="16">
        <v>0</v>
      </c>
      <c r="J61" s="16">
        <f t="shared" si="1"/>
        <v>1760000</v>
      </c>
      <c r="K61" s="16">
        <f t="shared" si="8"/>
        <v>1760000</v>
      </c>
      <c r="L61" s="16">
        <v>1735360</v>
      </c>
      <c r="M61" s="138">
        <f t="shared" si="3"/>
        <v>0.98599999999999999</v>
      </c>
      <c r="N61" s="145"/>
    </row>
    <row r="62" spans="1:51" s="4" customFormat="1" ht="24.95" customHeight="1" x14ac:dyDescent="0.25">
      <c r="A62" s="137">
        <v>204116</v>
      </c>
      <c r="B62" s="108">
        <v>20</v>
      </c>
      <c r="C62" s="109" t="s">
        <v>163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f t="shared" si="1"/>
        <v>0</v>
      </c>
      <c r="K62" s="16">
        <f t="shared" si="8"/>
        <v>0</v>
      </c>
      <c r="L62" s="16">
        <v>0</v>
      </c>
      <c r="M62" s="138" t="s">
        <v>156</v>
      </c>
      <c r="N62" s="145"/>
    </row>
    <row r="63" spans="1:51" s="4" customFormat="1" ht="24.95" customHeight="1" x14ac:dyDescent="0.25">
      <c r="A63" s="137">
        <v>204125</v>
      </c>
      <c r="B63" s="108">
        <v>20</v>
      </c>
      <c r="C63" s="109" t="s">
        <v>154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f t="shared" si="1"/>
        <v>0</v>
      </c>
      <c r="K63" s="16">
        <f t="shared" si="8"/>
        <v>0</v>
      </c>
      <c r="L63" s="16">
        <v>0</v>
      </c>
      <c r="M63" s="138" t="s">
        <v>156</v>
      </c>
      <c r="N63" s="145"/>
    </row>
    <row r="64" spans="1:51" s="4" customFormat="1" ht="24.95" customHeight="1" x14ac:dyDescent="0.25">
      <c r="A64" s="137">
        <v>2042</v>
      </c>
      <c r="B64" s="108"/>
      <c r="C64" s="109" t="s">
        <v>135</v>
      </c>
      <c r="D64" s="16">
        <f>+D65+D66</f>
        <v>0</v>
      </c>
      <c r="E64" s="16">
        <f t="shared" ref="E64:I64" si="29">+E65+E66</f>
        <v>0</v>
      </c>
      <c r="F64" s="16">
        <f t="shared" si="29"/>
        <v>0</v>
      </c>
      <c r="G64" s="16">
        <f t="shared" si="29"/>
        <v>0</v>
      </c>
      <c r="H64" s="16">
        <f t="shared" si="29"/>
        <v>0</v>
      </c>
      <c r="I64" s="16">
        <f t="shared" si="29"/>
        <v>0</v>
      </c>
      <c r="J64" s="16">
        <f t="shared" si="1"/>
        <v>0</v>
      </c>
      <c r="K64" s="16">
        <f t="shared" si="8"/>
        <v>0</v>
      </c>
      <c r="L64" s="16">
        <f t="shared" ref="L64" si="30">+L65+L66</f>
        <v>0</v>
      </c>
      <c r="M64" s="138" t="s">
        <v>156</v>
      </c>
      <c r="N64" s="145"/>
    </row>
    <row r="65" spans="1:14" s="4" customFormat="1" ht="15.75" x14ac:dyDescent="0.25">
      <c r="A65" s="137">
        <v>20421</v>
      </c>
      <c r="B65" s="108">
        <v>20</v>
      </c>
      <c r="C65" s="109" t="s">
        <v>136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f t="shared" si="1"/>
        <v>0</v>
      </c>
      <c r="K65" s="16">
        <f t="shared" si="8"/>
        <v>0</v>
      </c>
      <c r="L65" s="16">
        <v>0</v>
      </c>
      <c r="M65" s="138" t="s">
        <v>156</v>
      </c>
      <c r="N65" s="145"/>
    </row>
    <row r="66" spans="1:14" s="4" customFormat="1" ht="24.95" customHeight="1" x14ac:dyDescent="0.25">
      <c r="A66" s="137">
        <v>20422</v>
      </c>
      <c r="B66" s="108">
        <v>20</v>
      </c>
      <c r="C66" s="109" t="s">
        <v>137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f t="shared" si="1"/>
        <v>0</v>
      </c>
      <c r="K66" s="16">
        <f t="shared" si="8"/>
        <v>0</v>
      </c>
      <c r="L66" s="16">
        <v>0</v>
      </c>
      <c r="M66" s="138" t="s">
        <v>156</v>
      </c>
      <c r="N66" s="145"/>
    </row>
    <row r="67" spans="1:14" s="4" customFormat="1" ht="24.95" customHeight="1" x14ac:dyDescent="0.25">
      <c r="A67" s="137">
        <v>2044</v>
      </c>
      <c r="B67" s="108"/>
      <c r="C67" s="109" t="s">
        <v>44</v>
      </c>
      <c r="D67" s="16">
        <f t="shared" ref="D67:I67" si="31">SUM(D68:D77)</f>
        <v>167996000</v>
      </c>
      <c r="E67" s="16">
        <f t="shared" si="31"/>
        <v>0</v>
      </c>
      <c r="F67" s="16">
        <f t="shared" si="31"/>
        <v>0</v>
      </c>
      <c r="G67" s="16">
        <f t="shared" si="31"/>
        <v>0</v>
      </c>
      <c r="H67" s="16">
        <f t="shared" si="31"/>
        <v>2684512</v>
      </c>
      <c r="I67" s="16">
        <f t="shared" si="31"/>
        <v>60383891</v>
      </c>
      <c r="J67" s="16">
        <f t="shared" si="1"/>
        <v>-57699379</v>
      </c>
      <c r="K67" s="16">
        <f t="shared" si="8"/>
        <v>110296621</v>
      </c>
      <c r="L67" s="16">
        <f>SUM(L68:L77)</f>
        <v>104728838.86</v>
      </c>
      <c r="M67" s="138">
        <f t="shared" si="3"/>
        <v>0.94951992101371807</v>
      </c>
      <c r="N67" s="145">
        <f>+K67-[1]Julio!D73</f>
        <v>-115095166</v>
      </c>
    </row>
    <row r="68" spans="1:14" s="4" customFormat="1" ht="24.95" customHeight="1" x14ac:dyDescent="0.25">
      <c r="A68" s="137">
        <v>20441</v>
      </c>
      <c r="B68" s="108">
        <v>20</v>
      </c>
      <c r="C68" s="109" t="s">
        <v>45</v>
      </c>
      <c r="D68" s="16">
        <v>82328000</v>
      </c>
      <c r="E68" s="16">
        <v>0</v>
      </c>
      <c r="F68" s="16">
        <v>0</v>
      </c>
      <c r="G68" s="16">
        <v>0</v>
      </c>
      <c r="H68" s="16">
        <v>0</v>
      </c>
      <c r="I68" s="16">
        <f>4823020+141580+98400</f>
        <v>5063000</v>
      </c>
      <c r="J68" s="16">
        <f t="shared" si="1"/>
        <v>-5063000</v>
      </c>
      <c r="K68" s="16">
        <f t="shared" si="8"/>
        <v>77265000</v>
      </c>
      <c r="L68" s="16">
        <v>75770462</v>
      </c>
      <c r="M68" s="138">
        <f t="shared" si="3"/>
        <v>0.98065698569856985</v>
      </c>
      <c r="N68" s="145">
        <f>+K68-[1]Julio!D74</f>
        <v>-13152844</v>
      </c>
    </row>
    <row r="69" spans="1:14" s="4" customFormat="1" ht="24.95" customHeight="1" x14ac:dyDescent="0.25">
      <c r="A69" s="137">
        <v>20442</v>
      </c>
      <c r="B69" s="108">
        <v>20</v>
      </c>
      <c r="C69" s="109" t="s">
        <v>46</v>
      </c>
      <c r="D69" s="16">
        <v>2008000</v>
      </c>
      <c r="E69" s="16">
        <v>0</v>
      </c>
      <c r="F69" s="16">
        <v>0</v>
      </c>
      <c r="G69" s="16">
        <v>0</v>
      </c>
      <c r="H69" s="16">
        <v>0</v>
      </c>
      <c r="I69" s="16">
        <f>1000000+708000</f>
        <v>1708000</v>
      </c>
      <c r="J69" s="16">
        <f t="shared" si="1"/>
        <v>-1708000</v>
      </c>
      <c r="K69" s="16">
        <f t="shared" si="8"/>
        <v>300000</v>
      </c>
      <c r="L69" s="16">
        <v>1195</v>
      </c>
      <c r="M69" s="138">
        <f t="shared" si="3"/>
        <v>3.9833333333333335E-3</v>
      </c>
      <c r="N69" s="145">
        <f>+K69-[1]Julio!D75</f>
        <v>-10665891</v>
      </c>
    </row>
    <row r="70" spans="1:14" s="4" customFormat="1" ht="24.95" customHeight="1" x14ac:dyDescent="0.25">
      <c r="A70" s="137">
        <v>20449</v>
      </c>
      <c r="B70" s="108">
        <v>20</v>
      </c>
      <c r="C70" s="109" t="s">
        <v>47</v>
      </c>
      <c r="D70" s="16">
        <v>502000</v>
      </c>
      <c r="E70" s="16">
        <v>0</v>
      </c>
      <c r="F70" s="16">
        <v>0</v>
      </c>
      <c r="G70" s="16">
        <v>0</v>
      </c>
      <c r="H70" s="16">
        <v>0</v>
      </c>
      <c r="I70" s="16">
        <v>402000</v>
      </c>
      <c r="J70" s="16">
        <f t="shared" si="1"/>
        <v>-402000</v>
      </c>
      <c r="K70" s="16">
        <f t="shared" si="8"/>
        <v>100000</v>
      </c>
      <c r="L70" s="16">
        <v>398</v>
      </c>
      <c r="M70" s="138">
        <f t="shared" si="3"/>
        <v>3.98E-3</v>
      </c>
      <c r="N70" s="145">
        <f>+K70-[1]Julio!D77</f>
        <v>-2537882</v>
      </c>
    </row>
    <row r="71" spans="1:14" s="4" customFormat="1" ht="30" customHeight="1" x14ac:dyDescent="0.25">
      <c r="A71" s="137">
        <v>204413</v>
      </c>
      <c r="B71" s="108">
        <v>20</v>
      </c>
      <c r="C71" s="109" t="s">
        <v>48</v>
      </c>
      <c r="D71" s="16">
        <v>1004000</v>
      </c>
      <c r="E71" s="16">
        <v>0</v>
      </c>
      <c r="F71" s="16">
        <v>0</v>
      </c>
      <c r="G71" s="16">
        <v>0</v>
      </c>
      <c r="H71" s="16">
        <v>0</v>
      </c>
      <c r="I71" s="16">
        <v>704000</v>
      </c>
      <c r="J71" s="16">
        <f t="shared" si="1"/>
        <v>-704000</v>
      </c>
      <c r="K71" s="16">
        <f t="shared" si="8"/>
        <v>300000</v>
      </c>
      <c r="L71" s="16">
        <v>1195</v>
      </c>
      <c r="M71" s="138">
        <f t="shared" si="3"/>
        <v>3.9833333333333335E-3</v>
      </c>
      <c r="N71" s="145">
        <f>+K71-[1]Julio!D78</f>
        <v>-1322407</v>
      </c>
    </row>
    <row r="72" spans="1:14" s="4" customFormat="1" ht="31.5" x14ac:dyDescent="0.25">
      <c r="A72" s="137">
        <v>204415</v>
      </c>
      <c r="B72" s="108">
        <v>20</v>
      </c>
      <c r="C72" s="109" t="s">
        <v>49</v>
      </c>
      <c r="D72" s="16">
        <v>68600000</v>
      </c>
      <c r="E72" s="16">
        <v>0</v>
      </c>
      <c r="F72" s="16">
        <v>0</v>
      </c>
      <c r="G72" s="16">
        <v>0</v>
      </c>
      <c r="H72" s="16">
        <v>2500000</v>
      </c>
      <c r="I72" s="16">
        <f>2960000+30000000+3518178+5000000+1700000</f>
        <v>43178178</v>
      </c>
      <c r="J72" s="16">
        <f t="shared" si="1"/>
        <v>-40678178</v>
      </c>
      <c r="K72" s="16">
        <f t="shared" si="8"/>
        <v>27921822</v>
      </c>
      <c r="L72" s="16">
        <v>26444219.859999999</v>
      </c>
      <c r="M72" s="138">
        <f t="shared" si="3"/>
        <v>0.9470807406479419</v>
      </c>
      <c r="N72" s="145">
        <f>+K72-[1]Julio!D79</f>
        <v>-32223500</v>
      </c>
    </row>
    <row r="73" spans="1:14" s="4" customFormat="1" ht="24.95" customHeight="1" x14ac:dyDescent="0.25">
      <c r="A73" s="137">
        <v>204417</v>
      </c>
      <c r="B73" s="108">
        <v>20</v>
      </c>
      <c r="C73" s="109" t="s">
        <v>50</v>
      </c>
      <c r="D73" s="16">
        <v>2008000</v>
      </c>
      <c r="E73" s="16">
        <v>0</v>
      </c>
      <c r="F73" s="16">
        <v>0</v>
      </c>
      <c r="G73" s="16">
        <v>0</v>
      </c>
      <c r="H73" s="16">
        <v>0</v>
      </c>
      <c r="I73" s="16">
        <f>1000000+858000+18213</f>
        <v>1876213</v>
      </c>
      <c r="J73" s="16">
        <f t="shared" si="1"/>
        <v>-1876213</v>
      </c>
      <c r="K73" s="16">
        <f t="shared" si="8"/>
        <v>131787</v>
      </c>
      <c r="L73" s="16">
        <v>32185</v>
      </c>
      <c r="M73" s="138">
        <f t="shared" si="3"/>
        <v>0.24421983958964086</v>
      </c>
      <c r="N73" s="145">
        <f>+K73-[1]Julio!D80</f>
        <v>-1448362</v>
      </c>
    </row>
    <row r="74" spans="1:14" s="4" customFormat="1" ht="31.5" x14ac:dyDescent="0.25">
      <c r="A74" s="137">
        <v>204418</v>
      </c>
      <c r="B74" s="108">
        <v>20</v>
      </c>
      <c r="C74" s="109" t="s">
        <v>51</v>
      </c>
      <c r="D74" s="16">
        <v>5020000</v>
      </c>
      <c r="E74" s="16">
        <v>0</v>
      </c>
      <c r="F74" s="16">
        <v>0</v>
      </c>
      <c r="G74" s="16">
        <v>0</v>
      </c>
      <c r="H74" s="16">
        <v>184512</v>
      </c>
      <c r="I74" s="16">
        <v>2005314</v>
      </c>
      <c r="J74" s="16">
        <f t="shared" si="1"/>
        <v>-1820802</v>
      </c>
      <c r="K74" s="16">
        <f t="shared" si="8"/>
        <v>3199198</v>
      </c>
      <c r="L74" s="16">
        <v>2396386</v>
      </c>
      <c r="M74" s="138">
        <f t="shared" si="3"/>
        <v>0.74905835775091134</v>
      </c>
      <c r="N74" s="145">
        <f>+K74-[1]Julio!D81</f>
        <v>-4461860</v>
      </c>
    </row>
    <row r="75" spans="1:14" s="4" customFormat="1" ht="24.95" customHeight="1" x14ac:dyDescent="0.25">
      <c r="A75" s="137">
        <v>204420</v>
      </c>
      <c r="B75" s="108">
        <v>20</v>
      </c>
      <c r="C75" s="109" t="s">
        <v>52</v>
      </c>
      <c r="D75" s="16">
        <v>3012000</v>
      </c>
      <c r="E75" s="16">
        <v>0</v>
      </c>
      <c r="F75" s="16">
        <v>0</v>
      </c>
      <c r="G75" s="16">
        <v>0</v>
      </c>
      <c r="H75" s="16">
        <v>0</v>
      </c>
      <c r="I75" s="16">
        <f>1000000+1233186</f>
        <v>2233186</v>
      </c>
      <c r="J75" s="16">
        <f t="shared" ref="J75:J142" si="32">E75-F75-G75+H75-I75</f>
        <v>-2233186</v>
      </c>
      <c r="K75" s="16">
        <f t="shared" si="8"/>
        <v>778814</v>
      </c>
      <c r="L75" s="16">
        <v>81603</v>
      </c>
      <c r="M75" s="138">
        <f t="shared" si="3"/>
        <v>0.10477854789461925</v>
      </c>
      <c r="N75" s="145">
        <f>+K75-[1]Julio!D82</f>
        <v>-27951546</v>
      </c>
    </row>
    <row r="76" spans="1:14" s="4" customFormat="1" ht="24.95" customHeight="1" x14ac:dyDescent="0.25">
      <c r="A76" s="137">
        <v>204421</v>
      </c>
      <c r="B76" s="108">
        <v>20</v>
      </c>
      <c r="C76" s="109" t="s">
        <v>53</v>
      </c>
      <c r="D76" s="16">
        <v>2008000</v>
      </c>
      <c r="E76" s="16">
        <v>0</v>
      </c>
      <c r="F76" s="16">
        <v>0</v>
      </c>
      <c r="G76" s="16">
        <v>0</v>
      </c>
      <c r="H76" s="16">
        <v>0</v>
      </c>
      <c r="I76" s="16">
        <v>1708000</v>
      </c>
      <c r="J76" s="16">
        <f t="shared" si="32"/>
        <v>-1708000</v>
      </c>
      <c r="K76" s="16">
        <f t="shared" si="8"/>
        <v>300000</v>
      </c>
      <c r="L76" s="16">
        <v>1195</v>
      </c>
      <c r="M76" s="138">
        <f t="shared" si="3"/>
        <v>3.9833333333333335E-3</v>
      </c>
      <c r="N76" s="145">
        <f>+K76-[1]Julio!D83</f>
        <v>-6231881</v>
      </c>
    </row>
    <row r="77" spans="1:14" s="4" customFormat="1" ht="24.95" customHeight="1" x14ac:dyDescent="0.25">
      <c r="A77" s="137">
        <v>204423</v>
      </c>
      <c r="B77" s="108">
        <v>20</v>
      </c>
      <c r="C77" s="109" t="s">
        <v>54</v>
      </c>
      <c r="D77" s="16">
        <v>1506000</v>
      </c>
      <c r="E77" s="16">
        <v>0</v>
      </c>
      <c r="F77" s="16">
        <v>0</v>
      </c>
      <c r="G77" s="16">
        <v>0</v>
      </c>
      <c r="H77" s="16">
        <v>0</v>
      </c>
      <c r="I77" s="16">
        <f>1000000+506000</f>
        <v>1506000</v>
      </c>
      <c r="J77" s="16">
        <f t="shared" si="32"/>
        <v>-1506000</v>
      </c>
      <c r="K77" s="16">
        <f t="shared" si="8"/>
        <v>0</v>
      </c>
      <c r="L77" s="16">
        <v>0</v>
      </c>
      <c r="M77" s="138" t="s">
        <v>156</v>
      </c>
      <c r="N77" s="145">
        <f>+K77-[1]Julio!D84</f>
        <v>-5026829</v>
      </c>
    </row>
    <row r="78" spans="1:14" s="4" customFormat="1" ht="24.95" customHeight="1" x14ac:dyDescent="0.25">
      <c r="A78" s="137">
        <v>2045</v>
      </c>
      <c r="B78" s="108"/>
      <c r="C78" s="109" t="s">
        <v>55</v>
      </c>
      <c r="D78" s="16">
        <f>SUM(D79:D86)</f>
        <v>845368002</v>
      </c>
      <c r="E78" s="16">
        <f t="shared" ref="E78:I78" si="33">SUM(E79:E86)</f>
        <v>0</v>
      </c>
      <c r="F78" s="16">
        <f t="shared" si="33"/>
        <v>0</v>
      </c>
      <c r="G78" s="16">
        <f t="shared" si="33"/>
        <v>0</v>
      </c>
      <c r="H78" s="16">
        <f t="shared" si="33"/>
        <v>0</v>
      </c>
      <c r="I78" s="16">
        <f t="shared" si="33"/>
        <v>24283891</v>
      </c>
      <c r="J78" s="16">
        <f t="shared" si="32"/>
        <v>-24283891</v>
      </c>
      <c r="K78" s="16">
        <f t="shared" si="8"/>
        <v>821084111</v>
      </c>
      <c r="L78" s="16">
        <f>SUM(L79:L86)</f>
        <v>809590087</v>
      </c>
      <c r="M78" s="138">
        <f t="shared" ref="M78:M155" si="34">+L78/K78</f>
        <v>0.9860014049157505</v>
      </c>
      <c r="N78" s="145">
        <f>+K78-[1]Julio!D85</f>
        <v>-21048401</v>
      </c>
    </row>
    <row r="79" spans="1:14" s="4" customFormat="1" ht="34.5" customHeight="1" x14ac:dyDescent="0.25">
      <c r="A79" s="137">
        <v>20451</v>
      </c>
      <c r="B79" s="108">
        <v>20</v>
      </c>
      <c r="C79" s="109" t="s">
        <v>56</v>
      </c>
      <c r="D79" s="16">
        <v>72288000</v>
      </c>
      <c r="E79" s="16">
        <v>0</v>
      </c>
      <c r="F79" s="16">
        <v>0</v>
      </c>
      <c r="G79" s="16">
        <v>0</v>
      </c>
      <c r="H79" s="16">
        <v>0</v>
      </c>
      <c r="I79" s="16">
        <v>288000</v>
      </c>
      <c r="J79" s="16">
        <f t="shared" si="32"/>
        <v>-288000</v>
      </c>
      <c r="K79" s="16">
        <f t="shared" si="8"/>
        <v>72000000</v>
      </c>
      <c r="L79" s="16">
        <v>72000000</v>
      </c>
      <c r="M79" s="138">
        <f t="shared" si="34"/>
        <v>1</v>
      </c>
      <c r="N79" s="145">
        <f>+K79-[1]Julio!D86</f>
        <v>-28835400</v>
      </c>
    </row>
    <row r="80" spans="1:14" s="4" customFormat="1" ht="32.25" customHeight="1" x14ac:dyDescent="0.25">
      <c r="A80" s="137">
        <v>20452</v>
      </c>
      <c r="B80" s="108">
        <v>20</v>
      </c>
      <c r="C80" s="109" t="s">
        <v>57</v>
      </c>
      <c r="D80" s="16">
        <v>151604001</v>
      </c>
      <c r="E80" s="16">
        <v>0</v>
      </c>
      <c r="F80" s="16">
        <v>0</v>
      </c>
      <c r="G80" s="16">
        <v>0</v>
      </c>
      <c r="H80" s="16">
        <v>0</v>
      </c>
      <c r="I80" s="16">
        <v>1095969</v>
      </c>
      <c r="J80" s="16">
        <f t="shared" si="32"/>
        <v>-1095969</v>
      </c>
      <c r="K80" s="16">
        <f t="shared" si="8"/>
        <v>150508032</v>
      </c>
      <c r="L80" s="16">
        <v>140010024</v>
      </c>
      <c r="M80" s="138">
        <f t="shared" si="34"/>
        <v>0.93024951651749721</v>
      </c>
      <c r="N80" s="145">
        <f>+K80-[1]Julio!D87</f>
        <v>112753660</v>
      </c>
    </row>
    <row r="81" spans="1:54" s="4" customFormat="1" ht="29.25" customHeight="1" x14ac:dyDescent="0.25">
      <c r="A81" s="137">
        <v>20455</v>
      </c>
      <c r="B81" s="108">
        <v>20</v>
      </c>
      <c r="C81" s="109" t="s">
        <v>58</v>
      </c>
      <c r="D81" s="16">
        <v>1506000</v>
      </c>
      <c r="E81" s="16">
        <v>0</v>
      </c>
      <c r="F81" s="16">
        <v>0</v>
      </c>
      <c r="G81" s="16">
        <v>0</v>
      </c>
      <c r="H81" s="16">
        <v>0</v>
      </c>
      <c r="I81" s="16">
        <v>1006000</v>
      </c>
      <c r="J81" s="16">
        <f t="shared" si="32"/>
        <v>-1006000</v>
      </c>
      <c r="K81" s="16">
        <f t="shared" si="8"/>
        <v>500000</v>
      </c>
      <c r="L81" s="16">
        <v>1992</v>
      </c>
      <c r="M81" s="138">
        <f t="shared" si="34"/>
        <v>3.9839999999999997E-3</v>
      </c>
      <c r="N81" s="145">
        <f>+K81-[1]Julio!D88</f>
        <v>-60563257</v>
      </c>
    </row>
    <row r="82" spans="1:54" s="4" customFormat="1" ht="31.5" x14ac:dyDescent="0.25">
      <c r="A82" s="137">
        <v>20456</v>
      </c>
      <c r="B82" s="108">
        <v>20</v>
      </c>
      <c r="C82" s="109" t="s">
        <v>59</v>
      </c>
      <c r="D82" s="16">
        <v>101404001</v>
      </c>
      <c r="E82" s="16">
        <v>0</v>
      </c>
      <c r="F82" s="16">
        <v>0</v>
      </c>
      <c r="G82" s="16">
        <v>0</v>
      </c>
      <c r="H82" s="16">
        <v>0</v>
      </c>
      <c r="I82" s="16">
        <f>457221+49400</f>
        <v>506621</v>
      </c>
      <c r="J82" s="16">
        <f t="shared" si="32"/>
        <v>-506621</v>
      </c>
      <c r="K82" s="16">
        <f t="shared" ref="K82:L169" si="35">D82+J82</f>
        <v>100897380</v>
      </c>
      <c r="L82" s="16">
        <v>100598575</v>
      </c>
      <c r="M82" s="138">
        <f t="shared" si="34"/>
        <v>0.99703852567826834</v>
      </c>
      <c r="N82" s="145">
        <f>+K82-[1]Julio!D89</f>
        <v>-2731208</v>
      </c>
    </row>
    <row r="83" spans="1:54" s="4" customFormat="1" ht="24.95" customHeight="1" x14ac:dyDescent="0.25">
      <c r="A83" s="137">
        <v>20458</v>
      </c>
      <c r="B83" s="108">
        <v>20</v>
      </c>
      <c r="C83" s="109" t="s">
        <v>157</v>
      </c>
      <c r="D83" s="16">
        <v>138552000</v>
      </c>
      <c r="E83" s="16">
        <v>0</v>
      </c>
      <c r="F83" s="16">
        <v>0</v>
      </c>
      <c r="G83" s="16">
        <v>0</v>
      </c>
      <c r="H83" s="16">
        <v>0</v>
      </c>
      <c r="I83" s="16">
        <v>552000</v>
      </c>
      <c r="J83" s="16">
        <f t="shared" si="32"/>
        <v>-552000</v>
      </c>
      <c r="K83" s="16">
        <f t="shared" si="35"/>
        <v>138000000</v>
      </c>
      <c r="L83" s="16">
        <v>138000000</v>
      </c>
      <c r="M83" s="138">
        <f t="shared" si="34"/>
        <v>1</v>
      </c>
      <c r="N83" s="145"/>
    </row>
    <row r="84" spans="1:54" s="4" customFormat="1" ht="24.95" customHeight="1" x14ac:dyDescent="0.25">
      <c r="A84" s="137">
        <v>204510</v>
      </c>
      <c r="B84" s="108">
        <v>20</v>
      </c>
      <c r="C84" s="109" t="s">
        <v>158</v>
      </c>
      <c r="D84" s="16">
        <v>351400000</v>
      </c>
      <c r="E84" s="16">
        <v>0</v>
      </c>
      <c r="F84" s="16">
        <v>0</v>
      </c>
      <c r="G84" s="16">
        <v>0</v>
      </c>
      <c r="H84" s="16">
        <v>0</v>
      </c>
      <c r="I84" s="16">
        <f>1400000+6021301</f>
        <v>7421301</v>
      </c>
      <c r="J84" s="16">
        <f t="shared" si="32"/>
        <v>-7421301</v>
      </c>
      <c r="K84" s="16">
        <f t="shared" si="35"/>
        <v>343978699</v>
      </c>
      <c r="L84" s="16">
        <v>343978699</v>
      </c>
      <c r="M84" s="138">
        <f t="shared" si="34"/>
        <v>1</v>
      </c>
      <c r="N84" s="145"/>
    </row>
    <row r="85" spans="1:54" s="4" customFormat="1" ht="24.95" customHeight="1" x14ac:dyDescent="0.25">
      <c r="A85" s="137">
        <v>204512</v>
      </c>
      <c r="B85" s="108">
        <v>20</v>
      </c>
      <c r="C85" s="109" t="s">
        <v>60</v>
      </c>
      <c r="D85" s="16">
        <v>502000</v>
      </c>
      <c r="E85" s="16">
        <v>0</v>
      </c>
      <c r="F85" s="16">
        <v>0</v>
      </c>
      <c r="G85" s="16">
        <v>0</v>
      </c>
      <c r="H85" s="16">
        <v>0</v>
      </c>
      <c r="I85" s="16">
        <v>302000</v>
      </c>
      <c r="J85" s="16">
        <f t="shared" si="32"/>
        <v>-302000</v>
      </c>
      <c r="K85" s="16">
        <f t="shared" si="35"/>
        <v>200000</v>
      </c>
      <c r="L85" s="16">
        <v>797</v>
      </c>
      <c r="M85" s="138">
        <f t="shared" si="34"/>
        <v>3.9849999999999998E-3</v>
      </c>
      <c r="N85" s="145"/>
    </row>
    <row r="86" spans="1:54" s="4" customFormat="1" ht="24.95" customHeight="1" x14ac:dyDescent="0.25">
      <c r="A86" s="137">
        <v>204513</v>
      </c>
      <c r="B86" s="108">
        <v>20</v>
      </c>
      <c r="C86" s="109" t="s">
        <v>61</v>
      </c>
      <c r="D86" s="16">
        <v>28112000</v>
      </c>
      <c r="E86" s="16">
        <v>0</v>
      </c>
      <c r="F86" s="16">
        <v>0</v>
      </c>
      <c r="G86" s="16">
        <v>0</v>
      </c>
      <c r="H86" s="16">
        <v>0</v>
      </c>
      <c r="I86" s="16">
        <v>13112000</v>
      </c>
      <c r="J86" s="16">
        <f t="shared" si="32"/>
        <v>-13112000</v>
      </c>
      <c r="K86" s="16">
        <f t="shared" si="35"/>
        <v>15000000</v>
      </c>
      <c r="L86" s="16">
        <v>15000000</v>
      </c>
      <c r="M86" s="138">
        <f t="shared" si="34"/>
        <v>1</v>
      </c>
      <c r="N86" s="145"/>
    </row>
    <row r="87" spans="1:54" s="4" customFormat="1" ht="24.95" customHeight="1" x14ac:dyDescent="0.25">
      <c r="A87" s="137">
        <v>2046</v>
      </c>
      <c r="B87" s="108"/>
      <c r="C87" s="109" t="s">
        <v>62</v>
      </c>
      <c r="D87" s="16">
        <f>SUM(D88:D91)</f>
        <v>271895372</v>
      </c>
      <c r="E87" s="16">
        <f t="shared" ref="E87:I87" si="36">SUM(E88:E91)</f>
        <v>0</v>
      </c>
      <c r="F87" s="16">
        <f t="shared" si="36"/>
        <v>0</v>
      </c>
      <c r="G87" s="16">
        <f t="shared" si="36"/>
        <v>0</v>
      </c>
      <c r="H87" s="16">
        <f t="shared" si="36"/>
        <v>0</v>
      </c>
      <c r="I87" s="16">
        <f t="shared" si="36"/>
        <v>10757553</v>
      </c>
      <c r="J87" s="16">
        <f t="shared" si="32"/>
        <v>-10757553</v>
      </c>
      <c r="K87" s="16">
        <f t="shared" si="35"/>
        <v>261137819</v>
      </c>
      <c r="L87" s="16">
        <f t="shared" ref="L87" si="37">SUM(L88:L91)</f>
        <v>240108961.09999999</v>
      </c>
      <c r="M87" s="138">
        <f t="shared" si="34"/>
        <v>0.91947218529844577</v>
      </c>
      <c r="N87" s="145">
        <f>+K87-[1]Julio!D103</f>
        <v>686553</v>
      </c>
    </row>
    <row r="88" spans="1:54" s="4" customFormat="1" ht="24.95" customHeight="1" x14ac:dyDescent="0.25">
      <c r="A88" s="137">
        <v>20462</v>
      </c>
      <c r="B88" s="108">
        <v>20</v>
      </c>
      <c r="C88" s="109" t="s">
        <v>63</v>
      </c>
      <c r="D88" s="16">
        <v>183230000</v>
      </c>
      <c r="E88" s="16">
        <v>0</v>
      </c>
      <c r="F88" s="16">
        <v>0</v>
      </c>
      <c r="G88" s="16">
        <v>0</v>
      </c>
      <c r="H88" s="16">
        <v>0</v>
      </c>
      <c r="I88" s="16">
        <f>375081+329623</f>
        <v>704704</v>
      </c>
      <c r="J88" s="16">
        <f t="shared" si="32"/>
        <v>-704704</v>
      </c>
      <c r="K88" s="16">
        <f t="shared" si="35"/>
        <v>182525296</v>
      </c>
      <c r="L88" s="16">
        <v>180482293.09999999</v>
      </c>
      <c r="M88" s="138">
        <f t="shared" si="34"/>
        <v>0.9888070150013617</v>
      </c>
      <c r="N88" s="145">
        <f>+K88-[1]Julio!D104</f>
        <v>13554651</v>
      </c>
    </row>
    <row r="89" spans="1:54" s="4" customFormat="1" ht="31.5" x14ac:dyDescent="0.25">
      <c r="A89" s="137">
        <v>20465</v>
      </c>
      <c r="B89" s="108">
        <v>20</v>
      </c>
      <c r="C89" s="109" t="s">
        <v>64</v>
      </c>
      <c r="D89" s="16">
        <v>83143372</v>
      </c>
      <c r="E89" s="16">
        <v>0</v>
      </c>
      <c r="F89" s="16">
        <v>0</v>
      </c>
      <c r="G89" s="16">
        <v>0</v>
      </c>
      <c r="H89" s="16">
        <v>0</v>
      </c>
      <c r="I89" s="16">
        <f>1768700+3062548</f>
        <v>4831248</v>
      </c>
      <c r="J89" s="16">
        <f t="shared" si="32"/>
        <v>-4831248</v>
      </c>
      <c r="K89" s="114">
        <f t="shared" si="35"/>
        <v>78312124</v>
      </c>
      <c r="L89" s="16">
        <v>59525472</v>
      </c>
      <c r="M89" s="138">
        <f t="shared" si="34"/>
        <v>0.7601054467632623</v>
      </c>
      <c r="N89" s="145">
        <f>+K89-[1]Julio!D105</f>
        <v>-12159993</v>
      </c>
      <c r="BB89" s="146"/>
    </row>
    <row r="90" spans="1:54" s="4" customFormat="1" ht="24.95" customHeight="1" x14ac:dyDescent="0.25">
      <c r="A90" s="137">
        <v>20467</v>
      </c>
      <c r="B90" s="108">
        <v>20</v>
      </c>
      <c r="C90" s="109" t="s">
        <v>65</v>
      </c>
      <c r="D90" s="16">
        <v>5020000</v>
      </c>
      <c r="E90" s="16">
        <v>0</v>
      </c>
      <c r="F90" s="16">
        <v>0</v>
      </c>
      <c r="G90" s="16">
        <v>0</v>
      </c>
      <c r="H90" s="16">
        <v>0</v>
      </c>
      <c r="I90" s="16">
        <f>4650022+69579</f>
        <v>4719601</v>
      </c>
      <c r="J90" s="16">
        <f t="shared" si="32"/>
        <v>-4719601</v>
      </c>
      <c r="K90" s="16">
        <f t="shared" si="35"/>
        <v>300399</v>
      </c>
      <c r="L90" s="16">
        <v>101196</v>
      </c>
      <c r="M90" s="138">
        <f t="shared" si="34"/>
        <v>0.33687196029281058</v>
      </c>
      <c r="N90" s="145">
        <f>+K90-[1]Julio!D106</f>
        <v>-708105</v>
      </c>
    </row>
    <row r="91" spans="1:54" s="4" customFormat="1" ht="30.75" customHeight="1" x14ac:dyDescent="0.25">
      <c r="A91" s="137">
        <v>20468</v>
      </c>
      <c r="B91" s="108">
        <v>20</v>
      </c>
      <c r="C91" s="109" t="s">
        <v>66</v>
      </c>
      <c r="D91" s="16">
        <v>502000</v>
      </c>
      <c r="E91" s="16">
        <v>0</v>
      </c>
      <c r="F91" s="16">
        <v>0</v>
      </c>
      <c r="G91" s="16">
        <v>0</v>
      </c>
      <c r="H91" s="16">
        <v>0</v>
      </c>
      <c r="I91" s="16">
        <v>502000</v>
      </c>
      <c r="J91" s="16">
        <f t="shared" si="32"/>
        <v>-502000</v>
      </c>
      <c r="K91" s="16">
        <f t="shared" si="35"/>
        <v>0</v>
      </c>
      <c r="L91" s="16">
        <v>0</v>
      </c>
      <c r="M91" s="138" t="s">
        <v>155</v>
      </c>
      <c r="N91" s="145"/>
    </row>
    <row r="92" spans="1:54" s="4" customFormat="1" ht="24.95" customHeight="1" x14ac:dyDescent="0.25">
      <c r="A92" s="137">
        <v>2047</v>
      </c>
      <c r="B92" s="108"/>
      <c r="C92" s="109" t="s">
        <v>67</v>
      </c>
      <c r="D92" s="16">
        <f t="shared" ref="D92:I92" si="38">SUM(D93:D94)</f>
        <v>265056001</v>
      </c>
      <c r="E92" s="16">
        <f t="shared" si="38"/>
        <v>0</v>
      </c>
      <c r="F92" s="16">
        <f t="shared" si="38"/>
        <v>0</v>
      </c>
      <c r="G92" s="16">
        <f t="shared" si="38"/>
        <v>0</v>
      </c>
      <c r="H92" s="16">
        <f t="shared" si="38"/>
        <v>2500000</v>
      </c>
      <c r="I92" s="16">
        <f t="shared" si="38"/>
        <v>3630531</v>
      </c>
      <c r="J92" s="16">
        <f t="shared" si="32"/>
        <v>-1130531</v>
      </c>
      <c r="K92" s="16">
        <f t="shared" si="35"/>
        <v>263925470</v>
      </c>
      <c r="L92" s="16">
        <f>SUM(L93:L94)</f>
        <v>251667498</v>
      </c>
      <c r="M92" s="138">
        <f t="shared" si="34"/>
        <v>0.9535551760123796</v>
      </c>
      <c r="N92" s="145">
        <f>+K92-[1]Julio!D107</f>
        <v>68087200</v>
      </c>
    </row>
    <row r="93" spans="1:54" s="4" customFormat="1" ht="24.95" customHeight="1" x14ac:dyDescent="0.25">
      <c r="A93" s="137">
        <v>20475</v>
      </c>
      <c r="B93" s="108">
        <v>20</v>
      </c>
      <c r="C93" s="109" t="s">
        <v>68</v>
      </c>
      <c r="D93" s="16">
        <v>7028000</v>
      </c>
      <c r="E93" s="16">
        <v>0</v>
      </c>
      <c r="F93" s="16">
        <v>0</v>
      </c>
      <c r="G93" s="16">
        <v>0</v>
      </c>
      <c r="H93" s="16">
        <v>0</v>
      </c>
      <c r="I93" s="16">
        <f>500000+2528000</f>
        <v>3028000</v>
      </c>
      <c r="J93" s="16">
        <f t="shared" si="32"/>
        <v>-3028000</v>
      </c>
      <c r="K93" s="16">
        <f t="shared" si="35"/>
        <v>4000000</v>
      </c>
      <c r="L93" s="16">
        <v>4000000</v>
      </c>
      <c r="M93" s="138">
        <f t="shared" si="34"/>
        <v>1</v>
      </c>
      <c r="N93" s="145">
        <f>+K93-[1]Julio!D108</f>
        <v>-28655119</v>
      </c>
    </row>
    <row r="94" spans="1:54" s="4" customFormat="1" ht="30" customHeight="1" x14ac:dyDescent="0.25">
      <c r="A94" s="137">
        <v>20476</v>
      </c>
      <c r="B94" s="108">
        <v>20</v>
      </c>
      <c r="C94" s="109" t="s">
        <v>69</v>
      </c>
      <c r="D94" s="16">
        <v>258028001</v>
      </c>
      <c r="E94" s="16">
        <v>0</v>
      </c>
      <c r="F94" s="16">
        <v>0</v>
      </c>
      <c r="G94" s="16">
        <v>0</v>
      </c>
      <c r="H94" s="16">
        <v>2500000</v>
      </c>
      <c r="I94" s="16">
        <v>602531</v>
      </c>
      <c r="J94" s="16">
        <f t="shared" si="32"/>
        <v>1897469</v>
      </c>
      <c r="K94" s="16">
        <f t="shared" si="35"/>
        <v>259925470</v>
      </c>
      <c r="L94" s="16">
        <v>247667498</v>
      </c>
      <c r="M94" s="138">
        <f t="shared" si="34"/>
        <v>0.95284043537557128</v>
      </c>
      <c r="N94" s="145">
        <f>+K94-[1]Julio!D109</f>
        <v>96742319</v>
      </c>
    </row>
    <row r="95" spans="1:54" s="4" customFormat="1" ht="24.95" customHeight="1" x14ac:dyDescent="0.25">
      <c r="A95" s="137">
        <v>2048</v>
      </c>
      <c r="B95" s="108"/>
      <c r="C95" s="109" t="s">
        <v>70</v>
      </c>
      <c r="D95" s="16">
        <f>SUM(D96:D99)</f>
        <v>301200000</v>
      </c>
      <c r="E95" s="16">
        <f t="shared" ref="E95:I95" si="39">SUM(E96:E99)</f>
        <v>0</v>
      </c>
      <c r="F95" s="16">
        <f t="shared" si="39"/>
        <v>0</v>
      </c>
      <c r="G95" s="16">
        <f t="shared" si="39"/>
        <v>0</v>
      </c>
      <c r="H95" s="16">
        <f t="shared" si="39"/>
        <v>45636150</v>
      </c>
      <c r="I95" s="16">
        <f t="shared" si="39"/>
        <v>13834293</v>
      </c>
      <c r="J95" s="16">
        <f t="shared" si="32"/>
        <v>31801857</v>
      </c>
      <c r="K95" s="16">
        <f t="shared" si="35"/>
        <v>333001857</v>
      </c>
      <c r="L95" s="16">
        <f t="shared" ref="L95" si="40">SUM(L96:L99)</f>
        <v>323728982.03999996</v>
      </c>
      <c r="M95" s="138">
        <f t="shared" si="34"/>
        <v>0.9721536839357624</v>
      </c>
      <c r="N95" s="145">
        <f>+K95-[1]Julio!D110</f>
        <v>71770507</v>
      </c>
    </row>
    <row r="96" spans="1:54" s="4" customFormat="1" ht="24.95" customHeight="1" x14ac:dyDescent="0.25">
      <c r="A96" s="137">
        <v>20481</v>
      </c>
      <c r="B96" s="108">
        <v>20</v>
      </c>
      <c r="C96" s="109" t="s">
        <v>71</v>
      </c>
      <c r="D96" s="16">
        <v>10040000</v>
      </c>
      <c r="E96" s="16">
        <v>0</v>
      </c>
      <c r="F96" s="16">
        <v>0</v>
      </c>
      <c r="G96" s="16">
        <v>0</v>
      </c>
      <c r="H96" s="16">
        <v>0</v>
      </c>
      <c r="I96" s="16">
        <f>4540000+1000000</f>
        <v>5540000</v>
      </c>
      <c r="J96" s="16">
        <f t="shared" si="32"/>
        <v>-5540000</v>
      </c>
      <c r="K96" s="16">
        <f t="shared" si="35"/>
        <v>4500000</v>
      </c>
      <c r="L96" s="16">
        <v>3546023</v>
      </c>
      <c r="M96" s="138">
        <f t="shared" si="34"/>
        <v>0.78800511111111116</v>
      </c>
      <c r="N96" s="145">
        <f>+K96-[1]Julio!D111</f>
        <v>-5541818</v>
      </c>
    </row>
    <row r="97" spans="1:52" s="4" customFormat="1" ht="24.95" customHeight="1" x14ac:dyDescent="0.25">
      <c r="A97" s="137">
        <v>20482</v>
      </c>
      <c r="B97" s="108">
        <v>20</v>
      </c>
      <c r="C97" s="109" t="s">
        <v>72</v>
      </c>
      <c r="D97" s="16">
        <v>200800000</v>
      </c>
      <c r="E97" s="16">
        <v>0</v>
      </c>
      <c r="F97" s="16">
        <v>0</v>
      </c>
      <c r="G97" s="16">
        <v>0</v>
      </c>
      <c r="H97" s="16">
        <f>36773370+3322780</f>
        <v>40096150</v>
      </c>
      <c r="I97" s="16">
        <v>0</v>
      </c>
      <c r="J97" s="16">
        <f t="shared" si="32"/>
        <v>40096150</v>
      </c>
      <c r="K97" s="16">
        <f t="shared" si="35"/>
        <v>240896150</v>
      </c>
      <c r="L97" s="16">
        <v>240158243.75999999</v>
      </c>
      <c r="M97" s="138">
        <f t="shared" si="34"/>
        <v>0.99693682842170783</v>
      </c>
      <c r="N97" s="145">
        <f>+K97-[1]Julio!D112</f>
        <v>80255870</v>
      </c>
    </row>
    <row r="98" spans="1:52" s="4" customFormat="1" ht="24.95" customHeight="1" x14ac:dyDescent="0.25">
      <c r="A98" s="137">
        <v>20485</v>
      </c>
      <c r="B98" s="108">
        <v>20</v>
      </c>
      <c r="C98" s="109" t="s">
        <v>73</v>
      </c>
      <c r="D98" s="16">
        <v>30120000</v>
      </c>
      <c r="E98" s="16">
        <v>0</v>
      </c>
      <c r="F98" s="16">
        <v>0</v>
      </c>
      <c r="G98" s="16">
        <v>0</v>
      </c>
      <c r="H98" s="16">
        <v>0</v>
      </c>
      <c r="I98" s="16">
        <v>1958085</v>
      </c>
      <c r="J98" s="16">
        <f t="shared" si="32"/>
        <v>-1958085</v>
      </c>
      <c r="K98" s="16">
        <f t="shared" si="35"/>
        <v>28161915</v>
      </c>
      <c r="L98" s="16">
        <v>20580923.280000001</v>
      </c>
      <c r="M98" s="138">
        <f t="shared" si="34"/>
        <v>0.73080695258117212</v>
      </c>
      <c r="N98" s="145">
        <f>+K98-[1]Julio!D113</f>
        <v>-2021169</v>
      </c>
    </row>
    <row r="99" spans="1:52" s="4" customFormat="1" ht="24.95" customHeight="1" x14ac:dyDescent="0.25">
      <c r="A99" s="137">
        <v>20486</v>
      </c>
      <c r="B99" s="108">
        <v>20</v>
      </c>
      <c r="C99" s="109" t="s">
        <v>74</v>
      </c>
      <c r="D99" s="16">
        <v>60240000</v>
      </c>
      <c r="E99" s="16">
        <v>0</v>
      </c>
      <c r="F99" s="16">
        <v>0</v>
      </c>
      <c r="G99" s="16">
        <v>0</v>
      </c>
      <c r="H99" s="16">
        <v>5540000</v>
      </c>
      <c r="I99" s="16">
        <f>5780000+556208</f>
        <v>6336208</v>
      </c>
      <c r="J99" s="16">
        <f t="shared" si="32"/>
        <v>-796208</v>
      </c>
      <c r="K99" s="16">
        <f>D99+J99</f>
        <v>59443792</v>
      </c>
      <c r="L99" s="16">
        <v>59443792</v>
      </c>
      <c r="M99" s="138">
        <f t="shared" si="34"/>
        <v>1</v>
      </c>
      <c r="N99" s="145">
        <f>+K99-[1]Julio!D114</f>
        <v>-922376</v>
      </c>
      <c r="AY99" s="146"/>
    </row>
    <row r="100" spans="1:52" s="4" customFormat="1" ht="24.95" customHeight="1" x14ac:dyDescent="0.25">
      <c r="A100" s="137">
        <v>2049</v>
      </c>
      <c r="B100" s="108"/>
      <c r="C100" s="109" t="s">
        <v>75</v>
      </c>
      <c r="D100" s="16">
        <f>SUM(D101:D104)</f>
        <v>702800001</v>
      </c>
      <c r="E100" s="16">
        <f t="shared" ref="E100:G100" si="41">SUM(E101:E104)</f>
        <v>0</v>
      </c>
      <c r="F100" s="16">
        <f t="shared" si="41"/>
        <v>0</v>
      </c>
      <c r="G100" s="16">
        <f t="shared" si="41"/>
        <v>0</v>
      </c>
      <c r="H100" s="16">
        <f>SUM(H101:H104)</f>
        <v>28045625</v>
      </c>
      <c r="I100" s="16">
        <f>SUM(I101:I104)</f>
        <v>152526285</v>
      </c>
      <c r="J100" s="16">
        <f t="shared" si="32"/>
        <v>-124480660</v>
      </c>
      <c r="K100" s="16">
        <f>D100+J100</f>
        <v>578319341</v>
      </c>
      <c r="L100" s="16">
        <f t="shared" ref="L100" si="42">SUM(L101:L104)</f>
        <v>578279554</v>
      </c>
      <c r="M100" s="138">
        <f t="shared" si="34"/>
        <v>0.99993120237007604</v>
      </c>
      <c r="N100" s="145">
        <f>+K100-[1]Julio!D115</f>
        <v>-25072204</v>
      </c>
    </row>
    <row r="101" spans="1:52" s="4" customFormat="1" ht="39.75" customHeight="1" x14ac:dyDescent="0.25">
      <c r="A101" s="137">
        <v>20495</v>
      </c>
      <c r="B101" s="108">
        <v>20</v>
      </c>
      <c r="C101" s="109" t="s">
        <v>76</v>
      </c>
      <c r="D101" s="16">
        <v>60240000</v>
      </c>
      <c r="E101" s="16">
        <v>0</v>
      </c>
      <c r="F101" s="16">
        <v>0</v>
      </c>
      <c r="G101" s="16">
        <v>0</v>
      </c>
      <c r="H101" s="16">
        <v>2112676</v>
      </c>
      <c r="I101" s="16">
        <v>8240000</v>
      </c>
      <c r="J101" s="16">
        <f t="shared" si="32"/>
        <v>-6127324</v>
      </c>
      <c r="K101" s="114">
        <f t="shared" si="35"/>
        <v>54112676</v>
      </c>
      <c r="L101" s="16">
        <v>54112676</v>
      </c>
      <c r="M101" s="138">
        <f t="shared" si="34"/>
        <v>1</v>
      </c>
      <c r="N101" s="145">
        <f>+K101-[1]Julio!D116</f>
        <v>-6127429</v>
      </c>
      <c r="AZ101" s="146"/>
    </row>
    <row r="102" spans="1:52" s="4" customFormat="1" ht="24.95" customHeight="1" x14ac:dyDescent="0.25">
      <c r="A102" s="137">
        <v>204911</v>
      </c>
      <c r="B102" s="108">
        <v>20</v>
      </c>
      <c r="C102" s="109" t="s">
        <v>77</v>
      </c>
      <c r="D102" s="16">
        <v>140560000</v>
      </c>
      <c r="E102" s="16">
        <v>0</v>
      </c>
      <c r="F102" s="16">
        <v>0</v>
      </c>
      <c r="G102" s="16">
        <v>0</v>
      </c>
      <c r="H102" s="16">
        <f>3013717+495250</f>
        <v>3508967</v>
      </c>
      <c r="I102" s="16">
        <f>50000000+13286284</f>
        <v>63286284</v>
      </c>
      <c r="J102" s="16">
        <f t="shared" si="32"/>
        <v>-59777317</v>
      </c>
      <c r="K102" s="114">
        <f t="shared" si="35"/>
        <v>80782683</v>
      </c>
      <c r="L102" s="16">
        <v>80742899</v>
      </c>
      <c r="M102" s="138">
        <f t="shared" si="34"/>
        <v>0.99950751821402117</v>
      </c>
      <c r="N102" s="145">
        <f>+K102-[1]Julio!D117</f>
        <v>-10462917</v>
      </c>
    </row>
    <row r="103" spans="1:52" s="4" customFormat="1" ht="24.95" customHeight="1" x14ac:dyDescent="0.25">
      <c r="A103" s="137">
        <v>204911</v>
      </c>
      <c r="B103" s="108">
        <v>21</v>
      </c>
      <c r="C103" s="109" t="s">
        <v>77</v>
      </c>
      <c r="D103" s="16">
        <v>0</v>
      </c>
      <c r="E103" s="16">
        <v>0</v>
      </c>
      <c r="F103" s="16">
        <v>0</v>
      </c>
      <c r="G103" s="16">
        <v>0</v>
      </c>
      <c r="H103" s="16">
        <v>1456846</v>
      </c>
      <c r="I103" s="16">
        <v>0</v>
      </c>
      <c r="J103" s="16">
        <f t="shared" si="32"/>
        <v>1456846</v>
      </c>
      <c r="K103" s="114">
        <f t="shared" si="35"/>
        <v>1456846</v>
      </c>
      <c r="L103" s="16">
        <v>1456843</v>
      </c>
      <c r="M103" s="138">
        <f t="shared" si="34"/>
        <v>0.99999794075695025</v>
      </c>
      <c r="N103" s="145"/>
    </row>
    <row r="104" spans="1:52" s="4" customFormat="1" ht="24.95" customHeight="1" x14ac:dyDescent="0.25">
      <c r="A104" s="137">
        <v>204913</v>
      </c>
      <c r="B104" s="108">
        <v>20</v>
      </c>
      <c r="C104" s="109" t="s">
        <v>78</v>
      </c>
      <c r="D104" s="16">
        <v>502000001</v>
      </c>
      <c r="E104" s="16">
        <v>0</v>
      </c>
      <c r="F104" s="16">
        <v>0</v>
      </c>
      <c r="G104" s="16">
        <v>0</v>
      </c>
      <c r="H104" s="16">
        <v>20967136</v>
      </c>
      <c r="I104" s="16">
        <f>20000000+61000001</f>
        <v>81000001</v>
      </c>
      <c r="J104" s="16">
        <f t="shared" si="32"/>
        <v>-60032865</v>
      </c>
      <c r="K104" s="114">
        <f t="shared" si="35"/>
        <v>441967136</v>
      </c>
      <c r="L104" s="16">
        <v>441967136</v>
      </c>
      <c r="M104" s="138">
        <f t="shared" si="34"/>
        <v>1</v>
      </c>
      <c r="N104" s="145">
        <f>+K104-[1]Julio!D118</f>
        <v>-9938704</v>
      </c>
    </row>
    <row r="105" spans="1:52" s="4" customFormat="1" ht="24.95" customHeight="1" x14ac:dyDescent="0.25">
      <c r="A105" s="137">
        <v>20410</v>
      </c>
      <c r="B105" s="108"/>
      <c r="C105" s="109" t="s">
        <v>79</v>
      </c>
      <c r="D105" s="16">
        <f>+D106+D107</f>
        <v>4548622000</v>
      </c>
      <c r="E105" s="16">
        <f t="shared" ref="E105:I105" si="43">+E106+E107</f>
        <v>0</v>
      </c>
      <c r="F105" s="16">
        <f t="shared" si="43"/>
        <v>0</v>
      </c>
      <c r="G105" s="16">
        <f t="shared" si="43"/>
        <v>0</v>
      </c>
      <c r="H105" s="16">
        <f t="shared" si="43"/>
        <v>0</v>
      </c>
      <c r="I105" s="16">
        <f t="shared" si="43"/>
        <v>58122000</v>
      </c>
      <c r="J105" s="16">
        <f t="shared" si="32"/>
        <v>-58122000</v>
      </c>
      <c r="K105" s="16">
        <f t="shared" si="35"/>
        <v>4490500000</v>
      </c>
      <c r="L105" s="16">
        <f t="shared" ref="L105" si="44">+L106+L107</f>
        <v>4469516472</v>
      </c>
      <c r="M105" s="138">
        <f t="shared" si="34"/>
        <v>0.99532712882752472</v>
      </c>
      <c r="N105" s="145">
        <f>+K105-[1]Julio!D119</f>
        <v>1719780153</v>
      </c>
    </row>
    <row r="106" spans="1:52" s="4" customFormat="1" ht="24.95" customHeight="1" x14ac:dyDescent="0.25">
      <c r="A106" s="137">
        <v>204102</v>
      </c>
      <c r="B106" s="108">
        <v>20</v>
      </c>
      <c r="C106" s="109" t="s">
        <v>80</v>
      </c>
      <c r="D106" s="16">
        <v>2898622000</v>
      </c>
      <c r="E106" s="16">
        <v>0</v>
      </c>
      <c r="F106" s="16">
        <v>0</v>
      </c>
      <c r="G106" s="16">
        <v>0</v>
      </c>
      <c r="H106" s="16">
        <v>0</v>
      </c>
      <c r="I106" s="16">
        <v>28622000</v>
      </c>
      <c r="J106" s="16">
        <f t="shared" si="32"/>
        <v>-28622000</v>
      </c>
      <c r="K106" s="16">
        <f t="shared" si="35"/>
        <v>2870000000</v>
      </c>
      <c r="L106" s="16">
        <v>2855919960</v>
      </c>
      <c r="M106" s="138">
        <f t="shared" si="34"/>
        <v>0.99509406271777001</v>
      </c>
      <c r="N106" s="145">
        <f>+K106-[1]Julio!D120</f>
        <v>2844895454</v>
      </c>
    </row>
    <row r="107" spans="1:52" s="4" customFormat="1" ht="24.95" customHeight="1" x14ac:dyDescent="0.25">
      <c r="A107" s="137">
        <v>204102</v>
      </c>
      <c r="B107" s="108">
        <v>21</v>
      </c>
      <c r="C107" s="109" t="s">
        <v>80</v>
      </c>
      <c r="D107" s="16">
        <v>1650000000</v>
      </c>
      <c r="E107" s="16">
        <v>0</v>
      </c>
      <c r="F107" s="16">
        <v>0</v>
      </c>
      <c r="G107" s="16">
        <v>0</v>
      </c>
      <c r="H107" s="16">
        <v>0</v>
      </c>
      <c r="I107" s="16">
        <f>28043154+1456846</f>
        <v>29500000</v>
      </c>
      <c r="J107" s="16">
        <f t="shared" si="32"/>
        <v>-29500000</v>
      </c>
      <c r="K107" s="16">
        <f t="shared" si="35"/>
        <v>1620500000</v>
      </c>
      <c r="L107" s="16">
        <v>1613596512</v>
      </c>
      <c r="M107" s="138">
        <f t="shared" si="34"/>
        <v>0.99573990249922861</v>
      </c>
      <c r="N107" s="145">
        <f>+K107-[1]Julio!D121</f>
        <v>-1125115301</v>
      </c>
    </row>
    <row r="108" spans="1:52" s="4" customFormat="1" ht="24.95" customHeight="1" x14ac:dyDescent="0.25">
      <c r="A108" s="137">
        <v>20411</v>
      </c>
      <c r="B108" s="108"/>
      <c r="C108" s="109" t="s">
        <v>81</v>
      </c>
      <c r="D108" s="16">
        <f>+D109+D110</f>
        <v>521850624</v>
      </c>
      <c r="E108" s="16">
        <f t="shared" ref="E108:I108" si="45">+E109+E110</f>
        <v>0</v>
      </c>
      <c r="F108" s="16">
        <f t="shared" si="45"/>
        <v>0</v>
      </c>
      <c r="G108" s="16">
        <f t="shared" si="45"/>
        <v>0</v>
      </c>
      <c r="H108" s="16">
        <f t="shared" si="45"/>
        <v>63479981</v>
      </c>
      <c r="I108" s="16">
        <f t="shared" si="45"/>
        <v>94900012</v>
      </c>
      <c r="J108" s="16">
        <f t="shared" si="32"/>
        <v>-31420031</v>
      </c>
      <c r="K108" s="16">
        <f t="shared" si="35"/>
        <v>490430593</v>
      </c>
      <c r="L108" s="16">
        <f t="shared" ref="L108" si="46">+L109+L110</f>
        <v>471860789.51999998</v>
      </c>
      <c r="M108" s="138">
        <f t="shared" si="34"/>
        <v>0.9621357155425253</v>
      </c>
      <c r="N108" s="145">
        <f>+K108-[1]Julio!D122</f>
        <v>-1389548598</v>
      </c>
    </row>
    <row r="109" spans="1:52" s="4" customFormat="1" ht="31.5" x14ac:dyDescent="0.25">
      <c r="A109" s="137">
        <v>204111</v>
      </c>
      <c r="B109" s="108">
        <v>20</v>
      </c>
      <c r="C109" s="109" t="s">
        <v>82</v>
      </c>
      <c r="D109" s="16">
        <v>75300000</v>
      </c>
      <c r="E109" s="16">
        <v>0</v>
      </c>
      <c r="F109" s="16">
        <v>0</v>
      </c>
      <c r="G109" s="16">
        <v>0</v>
      </c>
      <c r="H109" s="16">
        <f>8076886+5403095</f>
        <v>13479981</v>
      </c>
      <c r="I109" s="16">
        <f>11922726+24313893</f>
        <v>36236619</v>
      </c>
      <c r="J109" s="16">
        <f t="shared" si="32"/>
        <v>-22756638</v>
      </c>
      <c r="K109" s="16">
        <f t="shared" si="35"/>
        <v>52543362</v>
      </c>
      <c r="L109" s="16">
        <v>52543362</v>
      </c>
      <c r="M109" s="138">
        <f t="shared" si="34"/>
        <v>1</v>
      </c>
      <c r="N109" s="145">
        <f>+K109-[1]Julio!D123</f>
        <v>-98516130</v>
      </c>
    </row>
    <row r="110" spans="1:52" s="4" customFormat="1" ht="31.5" x14ac:dyDescent="0.25">
      <c r="A110" s="137">
        <v>204112</v>
      </c>
      <c r="B110" s="108">
        <v>20</v>
      </c>
      <c r="C110" s="109" t="s">
        <v>83</v>
      </c>
      <c r="D110" s="16">
        <v>446550624</v>
      </c>
      <c r="E110" s="16">
        <v>0</v>
      </c>
      <c r="F110" s="16">
        <v>0</v>
      </c>
      <c r="G110" s="16">
        <v>0</v>
      </c>
      <c r="H110" s="16">
        <v>50000000</v>
      </c>
      <c r="I110" s="16">
        <f>5403095+28593529+23249670+1417099</f>
        <v>58663393</v>
      </c>
      <c r="J110" s="16">
        <f t="shared" si="32"/>
        <v>-8663393</v>
      </c>
      <c r="K110" s="16">
        <f>D110+J110</f>
        <v>437887231</v>
      </c>
      <c r="L110" s="16">
        <v>419317427.51999998</v>
      </c>
      <c r="M110" s="138">
        <f t="shared" si="34"/>
        <v>0.95759226996048208</v>
      </c>
      <c r="N110" s="145">
        <f>+K110-[1]Julio!D124</f>
        <v>-1291032468</v>
      </c>
    </row>
    <row r="111" spans="1:52" s="4" customFormat="1" ht="15.75" x14ac:dyDescent="0.25">
      <c r="A111" s="137">
        <v>20414</v>
      </c>
      <c r="B111" s="108">
        <v>20</v>
      </c>
      <c r="C111" s="109" t="s">
        <v>84</v>
      </c>
      <c r="D111" s="16">
        <v>1004000</v>
      </c>
      <c r="E111" s="16">
        <v>0</v>
      </c>
      <c r="F111" s="16">
        <v>0</v>
      </c>
      <c r="G111" s="16">
        <v>0</v>
      </c>
      <c r="H111" s="16">
        <f>5035114+1200000</f>
        <v>6235114</v>
      </c>
      <c r="I111" s="16">
        <v>1308066</v>
      </c>
      <c r="J111" s="16">
        <f t="shared" si="32"/>
        <v>4927048</v>
      </c>
      <c r="K111" s="114">
        <f>D111+J111</f>
        <v>5931048</v>
      </c>
      <c r="L111" s="16">
        <v>5931047.1699999999</v>
      </c>
      <c r="M111" s="138">
        <f t="shared" si="34"/>
        <v>0.99999986005845842</v>
      </c>
      <c r="N111" s="145">
        <f>+K111-[1]Julio!D125</f>
        <v>-14148987</v>
      </c>
    </row>
    <row r="112" spans="1:52" s="4" customFormat="1" ht="31.5" x14ac:dyDescent="0.25">
      <c r="A112" s="137">
        <v>20421</v>
      </c>
      <c r="B112" s="108"/>
      <c r="C112" s="109" t="s">
        <v>85</v>
      </c>
      <c r="D112" s="16">
        <f>+D113+D114</f>
        <v>20080000</v>
      </c>
      <c r="E112" s="16">
        <f t="shared" ref="E112:I112" si="47">+E113+E114</f>
        <v>0</v>
      </c>
      <c r="F112" s="16">
        <f t="shared" si="47"/>
        <v>0</v>
      </c>
      <c r="G112" s="16">
        <f t="shared" si="47"/>
        <v>0</v>
      </c>
      <c r="H112" s="16">
        <f t="shared" si="47"/>
        <v>60962700</v>
      </c>
      <c r="I112" s="16">
        <f t="shared" si="47"/>
        <v>6050000</v>
      </c>
      <c r="J112" s="16">
        <f t="shared" si="32"/>
        <v>54912700</v>
      </c>
      <c r="K112" s="16">
        <f t="shared" si="35"/>
        <v>74992700</v>
      </c>
      <c r="L112" s="16">
        <f>+L113+L114</f>
        <v>74992700</v>
      </c>
      <c r="M112" s="138">
        <f t="shared" si="34"/>
        <v>1</v>
      </c>
      <c r="N112" s="145">
        <f>+K112-[1]Julio!D126</f>
        <v>-698274748</v>
      </c>
    </row>
    <row r="113" spans="1:14" s="4" customFormat="1" ht="24.95" customHeight="1" x14ac:dyDescent="0.25">
      <c r="A113" s="137">
        <v>204213</v>
      </c>
      <c r="B113" s="108">
        <v>20</v>
      </c>
      <c r="C113" s="109" t="s">
        <v>139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f t="shared" si="32"/>
        <v>0</v>
      </c>
      <c r="K113" s="16">
        <f t="shared" si="35"/>
        <v>0</v>
      </c>
      <c r="L113" s="16">
        <v>0</v>
      </c>
      <c r="M113" s="138" t="s">
        <v>156</v>
      </c>
      <c r="N113" s="145"/>
    </row>
    <row r="114" spans="1:14" s="4" customFormat="1" ht="24.95" customHeight="1" x14ac:dyDescent="0.25">
      <c r="A114" s="137">
        <v>204214</v>
      </c>
      <c r="B114" s="108">
        <v>20</v>
      </c>
      <c r="C114" s="109" t="s">
        <v>86</v>
      </c>
      <c r="D114" s="16">
        <v>20080000</v>
      </c>
      <c r="E114" s="16">
        <v>0</v>
      </c>
      <c r="F114" s="16">
        <v>0</v>
      </c>
      <c r="G114" s="16">
        <v>0</v>
      </c>
      <c r="H114" s="16">
        <f>37962700+18000000+5000000</f>
        <v>60962700</v>
      </c>
      <c r="I114" s="16">
        <v>6050000</v>
      </c>
      <c r="J114" s="16">
        <f t="shared" si="32"/>
        <v>54912700</v>
      </c>
      <c r="K114" s="114">
        <f t="shared" si="35"/>
        <v>74992700</v>
      </c>
      <c r="L114" s="16">
        <v>74992700</v>
      </c>
      <c r="M114" s="138">
        <f t="shared" si="34"/>
        <v>1</v>
      </c>
      <c r="N114" s="145" t="e">
        <f>+K114-[1]Julio!D127</f>
        <v>#REF!</v>
      </c>
    </row>
    <row r="115" spans="1:14" s="4" customFormat="1" ht="24.95" customHeight="1" x14ac:dyDescent="0.25">
      <c r="A115" s="137">
        <v>20422</v>
      </c>
      <c r="B115" s="108"/>
      <c r="C115" s="109" t="s">
        <v>141</v>
      </c>
      <c r="D115" s="16">
        <f>+D116</f>
        <v>0</v>
      </c>
      <c r="E115" s="16">
        <f t="shared" ref="E115:I115" si="48">+E116</f>
        <v>0</v>
      </c>
      <c r="F115" s="16">
        <f t="shared" si="48"/>
        <v>0</v>
      </c>
      <c r="G115" s="16">
        <f t="shared" si="48"/>
        <v>0</v>
      </c>
      <c r="H115" s="16">
        <f t="shared" si="48"/>
        <v>0</v>
      </c>
      <c r="I115" s="16">
        <f t="shared" si="48"/>
        <v>0</v>
      </c>
      <c r="J115" s="16">
        <f t="shared" si="32"/>
        <v>0</v>
      </c>
      <c r="K115" s="16">
        <f t="shared" si="35"/>
        <v>0</v>
      </c>
      <c r="L115" s="16">
        <f t="shared" ref="L115" si="49">+L116</f>
        <v>0</v>
      </c>
      <c r="M115" s="138" t="s">
        <v>156</v>
      </c>
      <c r="N115" s="145"/>
    </row>
    <row r="116" spans="1:14" s="4" customFormat="1" ht="24.95" customHeight="1" x14ac:dyDescent="0.25">
      <c r="A116" s="137">
        <v>204221</v>
      </c>
      <c r="B116" s="108">
        <v>20</v>
      </c>
      <c r="C116" s="109" t="s">
        <v>142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f t="shared" si="32"/>
        <v>0</v>
      </c>
      <c r="K116" s="16">
        <f t="shared" si="35"/>
        <v>0</v>
      </c>
      <c r="L116" s="16">
        <v>0</v>
      </c>
      <c r="M116" s="138" t="s">
        <v>156</v>
      </c>
      <c r="N116" s="145"/>
    </row>
    <row r="117" spans="1:14" s="4" customFormat="1" ht="31.5" x14ac:dyDescent="0.25">
      <c r="A117" s="137">
        <v>20441</v>
      </c>
      <c r="B117" s="108"/>
      <c r="C117" s="109" t="s">
        <v>87</v>
      </c>
      <c r="D117" s="16">
        <f>+D118</f>
        <v>1083818000</v>
      </c>
      <c r="E117" s="16">
        <f t="shared" ref="E117:I117" si="50">+E118</f>
        <v>0</v>
      </c>
      <c r="F117" s="16">
        <f t="shared" si="50"/>
        <v>0</v>
      </c>
      <c r="G117" s="16">
        <f t="shared" si="50"/>
        <v>0</v>
      </c>
      <c r="H117" s="16">
        <f t="shared" si="50"/>
        <v>2000000</v>
      </c>
      <c r="I117" s="16">
        <f t="shared" si="50"/>
        <v>24507560</v>
      </c>
      <c r="J117" s="16">
        <f t="shared" si="32"/>
        <v>-22507560</v>
      </c>
      <c r="K117" s="16">
        <f t="shared" si="35"/>
        <v>1061310440</v>
      </c>
      <c r="L117" s="16">
        <f t="shared" ref="L117" si="51">+L118</f>
        <v>1030443911.3200001</v>
      </c>
      <c r="M117" s="138">
        <f t="shared" si="34"/>
        <v>0.97091658810027348</v>
      </c>
      <c r="N117" s="145">
        <f>+K117-[1]Julio!D132</f>
        <v>-79390497</v>
      </c>
    </row>
    <row r="118" spans="1:14" s="4" customFormat="1" ht="31.5" x14ac:dyDescent="0.25">
      <c r="A118" s="137">
        <v>2044113</v>
      </c>
      <c r="B118" s="108">
        <v>20</v>
      </c>
      <c r="C118" s="109" t="s">
        <v>87</v>
      </c>
      <c r="D118" s="16">
        <v>1083818000</v>
      </c>
      <c r="E118" s="16">
        <v>0</v>
      </c>
      <c r="F118" s="16">
        <v>0</v>
      </c>
      <c r="G118" s="16">
        <v>0</v>
      </c>
      <c r="H118" s="16">
        <v>2000000</v>
      </c>
      <c r="I118" s="16">
        <f>5000000+19507560</f>
        <v>24507560</v>
      </c>
      <c r="J118" s="16">
        <f t="shared" si="32"/>
        <v>-22507560</v>
      </c>
      <c r="K118" s="16">
        <f t="shared" si="35"/>
        <v>1061310440</v>
      </c>
      <c r="L118" s="16">
        <v>1030443911.3200001</v>
      </c>
      <c r="M118" s="138">
        <f t="shared" si="34"/>
        <v>0.97091658810027348</v>
      </c>
      <c r="N118" s="145">
        <f>+K118-[1]Julio!D133</f>
        <v>-79390497</v>
      </c>
    </row>
    <row r="119" spans="1:14" s="4" customFormat="1" ht="24.95" customHeight="1" x14ac:dyDescent="0.25">
      <c r="A119" s="137">
        <v>3</v>
      </c>
      <c r="B119" s="108"/>
      <c r="C119" s="109" t="s">
        <v>88</v>
      </c>
      <c r="D119" s="16">
        <f t="shared" ref="D119:I119" si="52">+D120+D124</f>
        <v>15829081669</v>
      </c>
      <c r="E119" s="16">
        <f t="shared" si="52"/>
        <v>0</v>
      </c>
      <c r="F119" s="16">
        <f t="shared" si="52"/>
        <v>0</v>
      </c>
      <c r="G119" s="16">
        <f t="shared" si="52"/>
        <v>0</v>
      </c>
      <c r="H119" s="16">
        <f t="shared" si="52"/>
        <v>8521025572</v>
      </c>
      <c r="I119" s="16">
        <f t="shared" si="52"/>
        <v>7032747572</v>
      </c>
      <c r="J119" s="16">
        <f t="shared" si="32"/>
        <v>1488278000</v>
      </c>
      <c r="K119" s="16">
        <f>D119+J119</f>
        <v>17317359669</v>
      </c>
      <c r="L119" s="16">
        <f>+L120+L124</f>
        <v>17317359667.07</v>
      </c>
      <c r="M119" s="138">
        <f t="shared" si="34"/>
        <v>0.99999999988855115</v>
      </c>
      <c r="N119" s="145">
        <f>+K119-[1]Julio!D134</f>
        <v>1334559669</v>
      </c>
    </row>
    <row r="120" spans="1:14" s="4" customFormat="1" ht="24.95" customHeight="1" x14ac:dyDescent="0.25">
      <c r="A120" s="137">
        <v>32</v>
      </c>
      <c r="B120" s="108"/>
      <c r="C120" s="109" t="s">
        <v>89</v>
      </c>
      <c r="D120" s="16">
        <f>+D121</f>
        <v>7574600000</v>
      </c>
      <c r="E120" s="16">
        <f t="shared" ref="E120:I120" si="53">+E121</f>
        <v>0</v>
      </c>
      <c r="F120" s="16">
        <f t="shared" si="53"/>
        <v>0</v>
      </c>
      <c r="G120" s="16">
        <f t="shared" si="53"/>
        <v>0</v>
      </c>
      <c r="H120" s="16">
        <f t="shared" si="53"/>
        <v>0</v>
      </c>
      <c r="I120" s="16">
        <f t="shared" si="53"/>
        <v>4610665903</v>
      </c>
      <c r="J120" s="16">
        <f t="shared" si="32"/>
        <v>-4610665903</v>
      </c>
      <c r="K120" s="16">
        <f t="shared" si="35"/>
        <v>2963934097</v>
      </c>
      <c r="L120" s="16">
        <f t="shared" ref="L120" si="54">+L121</f>
        <v>2963934097</v>
      </c>
      <c r="M120" s="138">
        <f t="shared" si="34"/>
        <v>1</v>
      </c>
      <c r="N120" s="145">
        <f>+K120-[1]Julio!D135</f>
        <v>-4127865903</v>
      </c>
    </row>
    <row r="121" spans="1:14" s="4" customFormat="1" ht="24.95" customHeight="1" x14ac:dyDescent="0.25">
      <c r="A121" s="137">
        <v>321</v>
      </c>
      <c r="B121" s="108"/>
      <c r="C121" s="109" t="s">
        <v>90</v>
      </c>
      <c r="D121" s="16">
        <f>+D122+D123</f>
        <v>7574600000</v>
      </c>
      <c r="E121" s="16">
        <f t="shared" ref="E121:I121" si="55">+E122+E123</f>
        <v>0</v>
      </c>
      <c r="F121" s="16">
        <f t="shared" si="55"/>
        <v>0</v>
      </c>
      <c r="G121" s="16">
        <f t="shared" si="55"/>
        <v>0</v>
      </c>
      <c r="H121" s="16">
        <f t="shared" si="55"/>
        <v>0</v>
      </c>
      <c r="I121" s="16">
        <f t="shared" si="55"/>
        <v>4610665903</v>
      </c>
      <c r="J121" s="16">
        <f t="shared" si="32"/>
        <v>-4610665903</v>
      </c>
      <c r="K121" s="16">
        <f t="shared" si="35"/>
        <v>2963934097</v>
      </c>
      <c r="L121" s="16">
        <f>+L122+L123</f>
        <v>2963934097</v>
      </c>
      <c r="M121" s="138">
        <f t="shared" si="34"/>
        <v>1</v>
      </c>
      <c r="N121" s="145">
        <f>+K121-[1]Julio!D136</f>
        <v>-4127865903</v>
      </c>
    </row>
    <row r="122" spans="1:14" s="4" customFormat="1" ht="24.95" customHeight="1" x14ac:dyDescent="0.25">
      <c r="A122" s="137">
        <v>3211</v>
      </c>
      <c r="B122" s="108">
        <v>11</v>
      </c>
      <c r="C122" s="109" t="s">
        <v>91</v>
      </c>
      <c r="D122" s="16">
        <v>3873800000</v>
      </c>
      <c r="E122" s="16">
        <v>0</v>
      </c>
      <c r="F122" s="16">
        <v>0</v>
      </c>
      <c r="G122" s="16">
        <v>0</v>
      </c>
      <c r="H122" s="16">
        <v>0</v>
      </c>
      <c r="I122" s="16">
        <v>909865903</v>
      </c>
      <c r="J122" s="16">
        <f t="shared" si="32"/>
        <v>-909865903</v>
      </c>
      <c r="K122" s="16">
        <f t="shared" si="35"/>
        <v>2963934097</v>
      </c>
      <c r="L122" s="16">
        <v>2963934097</v>
      </c>
      <c r="M122" s="138">
        <f t="shared" si="34"/>
        <v>1</v>
      </c>
      <c r="N122" s="145">
        <f>+K122-[1]Julio!D137</f>
        <v>-2711765903</v>
      </c>
    </row>
    <row r="123" spans="1:14" s="4" customFormat="1" ht="24.95" customHeight="1" x14ac:dyDescent="0.25">
      <c r="A123" s="137">
        <v>3211</v>
      </c>
      <c r="B123" s="108">
        <v>20</v>
      </c>
      <c r="C123" s="109" t="s">
        <v>91</v>
      </c>
      <c r="D123" s="16">
        <v>3700800000</v>
      </c>
      <c r="E123" s="16">
        <v>0</v>
      </c>
      <c r="F123" s="16">
        <v>0</v>
      </c>
      <c r="G123" s="16">
        <v>0</v>
      </c>
      <c r="H123" s="16">
        <v>0</v>
      </c>
      <c r="I123" s="16">
        <v>3700800000</v>
      </c>
      <c r="J123" s="16">
        <f t="shared" si="32"/>
        <v>-3700800000</v>
      </c>
      <c r="K123" s="16">
        <f t="shared" si="35"/>
        <v>0</v>
      </c>
      <c r="L123" s="16">
        <v>0</v>
      </c>
      <c r="M123" s="138" t="s">
        <v>156</v>
      </c>
      <c r="N123" s="145">
        <f>+K123-[1]Julio!D137</f>
        <v>-5675700000</v>
      </c>
    </row>
    <row r="124" spans="1:14" s="4" customFormat="1" ht="24.95" customHeight="1" x14ac:dyDescent="0.25">
      <c r="A124" s="137">
        <v>36</v>
      </c>
      <c r="B124" s="108"/>
      <c r="C124" s="109" t="s">
        <v>92</v>
      </c>
      <c r="D124" s="16">
        <f t="shared" ref="D124:I124" si="56">+D125+D130</f>
        <v>8254481669</v>
      </c>
      <c r="E124" s="16">
        <f t="shared" si="56"/>
        <v>0</v>
      </c>
      <c r="F124" s="16">
        <f t="shared" si="56"/>
        <v>0</v>
      </c>
      <c r="G124" s="16">
        <f t="shared" si="56"/>
        <v>0</v>
      </c>
      <c r="H124" s="16">
        <f t="shared" si="56"/>
        <v>8521025572</v>
      </c>
      <c r="I124" s="16">
        <f t="shared" si="56"/>
        <v>2422081669</v>
      </c>
      <c r="J124" s="16">
        <f t="shared" si="32"/>
        <v>6098943903</v>
      </c>
      <c r="K124" s="16">
        <f t="shared" si="35"/>
        <v>14353425572</v>
      </c>
      <c r="L124" s="16">
        <f>+L125+L130</f>
        <v>14353425570.07</v>
      </c>
      <c r="M124" s="138">
        <f t="shared" si="34"/>
        <v>0.99999999986553734</v>
      </c>
      <c r="N124" s="145">
        <f>+K124-[1]Julio!D139</f>
        <v>5462425572</v>
      </c>
    </row>
    <row r="125" spans="1:14" s="4" customFormat="1" ht="24.95" customHeight="1" x14ac:dyDescent="0.25">
      <c r="A125" s="137">
        <v>361</v>
      </c>
      <c r="B125" s="108"/>
      <c r="C125" s="109" t="s">
        <v>93</v>
      </c>
      <c r="D125" s="16">
        <f t="shared" ref="D125:I125" si="57">SUM(D126:D129)</f>
        <v>5832400000</v>
      </c>
      <c r="E125" s="16">
        <f t="shared" si="57"/>
        <v>0</v>
      </c>
      <c r="F125" s="16">
        <f t="shared" si="57"/>
        <v>0</v>
      </c>
      <c r="G125" s="16">
        <f t="shared" si="57"/>
        <v>0</v>
      </c>
      <c r="H125" s="16">
        <f t="shared" si="57"/>
        <v>8521025572</v>
      </c>
      <c r="I125" s="16">
        <f t="shared" si="57"/>
        <v>0</v>
      </c>
      <c r="J125" s="16">
        <f t="shared" si="32"/>
        <v>8521025572</v>
      </c>
      <c r="K125" s="16">
        <f t="shared" si="35"/>
        <v>14353425572</v>
      </c>
      <c r="L125" s="16">
        <f>SUM(L126:L129)</f>
        <v>14353425570.07</v>
      </c>
      <c r="M125" s="138">
        <f t="shared" si="34"/>
        <v>0.99999999986553734</v>
      </c>
      <c r="N125" s="145">
        <f>+K125-[1]Agosto!D149</f>
        <v>5462425572</v>
      </c>
    </row>
    <row r="126" spans="1:14" s="4" customFormat="1" ht="24.95" customHeight="1" x14ac:dyDescent="0.25">
      <c r="A126" s="137">
        <v>3611</v>
      </c>
      <c r="B126" s="108">
        <v>10</v>
      </c>
      <c r="C126" s="109" t="s">
        <v>93</v>
      </c>
      <c r="D126" s="16">
        <v>0</v>
      </c>
      <c r="E126" s="16">
        <v>0</v>
      </c>
      <c r="F126" s="16">
        <v>0</v>
      </c>
      <c r="G126" s="16">
        <v>0</v>
      </c>
      <c r="H126" s="16">
        <v>861300000</v>
      </c>
      <c r="I126" s="16">
        <v>0</v>
      </c>
      <c r="J126" s="16">
        <f t="shared" si="32"/>
        <v>861300000</v>
      </c>
      <c r="K126" s="16">
        <f t="shared" si="35"/>
        <v>861300000</v>
      </c>
      <c r="L126" s="16">
        <v>861300000</v>
      </c>
      <c r="M126" s="138">
        <f t="shared" si="34"/>
        <v>1</v>
      </c>
      <c r="N126" s="145"/>
    </row>
    <row r="127" spans="1:14" s="4" customFormat="1" ht="24.95" customHeight="1" x14ac:dyDescent="0.25">
      <c r="A127" s="137">
        <v>3611</v>
      </c>
      <c r="B127" s="108">
        <v>11</v>
      </c>
      <c r="C127" s="109" t="s">
        <v>93</v>
      </c>
      <c r="D127" s="16">
        <v>0</v>
      </c>
      <c r="E127" s="16">
        <v>0</v>
      </c>
      <c r="F127" s="16">
        <v>0</v>
      </c>
      <c r="G127" s="16">
        <v>0</v>
      </c>
      <c r="H127" s="16">
        <v>909865903</v>
      </c>
      <c r="I127" s="16">
        <v>0</v>
      </c>
      <c r="J127" s="16">
        <f t="shared" si="32"/>
        <v>909865903</v>
      </c>
      <c r="K127" s="16">
        <f t="shared" si="35"/>
        <v>909865903</v>
      </c>
      <c r="L127" s="16">
        <v>909865902.02999997</v>
      </c>
      <c r="M127" s="138" t="s">
        <v>156</v>
      </c>
      <c r="N127" s="145"/>
    </row>
    <row r="128" spans="1:14" s="4" customFormat="1" ht="24.95" customHeight="1" x14ac:dyDescent="0.25">
      <c r="A128" s="137">
        <v>3611</v>
      </c>
      <c r="B128" s="108">
        <v>20</v>
      </c>
      <c r="C128" s="109" t="s">
        <v>93</v>
      </c>
      <c r="D128" s="16">
        <v>0</v>
      </c>
      <c r="E128" s="16">
        <v>0</v>
      </c>
      <c r="F128" s="16">
        <v>0</v>
      </c>
      <c r="G128" s="16">
        <v>0</v>
      </c>
      <c r="H128" s="16">
        <f>3700800000+225134846+1235100000</f>
        <v>5161034846</v>
      </c>
      <c r="I128" s="16">
        <v>0</v>
      </c>
      <c r="J128" s="16">
        <f t="shared" si="32"/>
        <v>5161034846</v>
      </c>
      <c r="K128" s="16">
        <f t="shared" si="35"/>
        <v>5161034846</v>
      </c>
      <c r="L128" s="16">
        <v>5161034845.04</v>
      </c>
      <c r="M128" s="138">
        <f t="shared" si="34"/>
        <v>0.99999999981399079</v>
      </c>
      <c r="N128" s="145"/>
    </row>
    <row r="129" spans="1:52" s="4" customFormat="1" ht="24.95" customHeight="1" x14ac:dyDescent="0.25">
      <c r="A129" s="137">
        <v>3611</v>
      </c>
      <c r="B129" s="108">
        <v>21</v>
      </c>
      <c r="C129" s="109" t="s">
        <v>93</v>
      </c>
      <c r="D129" s="16">
        <v>5832400000</v>
      </c>
      <c r="E129" s="16">
        <v>0</v>
      </c>
      <c r="F129" s="16">
        <v>0</v>
      </c>
      <c r="G129" s="16">
        <v>0</v>
      </c>
      <c r="H129" s="16">
        <f>28043154+1560781669</f>
        <v>1588824823</v>
      </c>
      <c r="I129" s="16">
        <v>0</v>
      </c>
      <c r="J129" s="16">
        <f t="shared" si="32"/>
        <v>1588824823</v>
      </c>
      <c r="K129" s="16">
        <f t="shared" si="35"/>
        <v>7421224823</v>
      </c>
      <c r="L129" s="16">
        <v>7421224823</v>
      </c>
      <c r="M129" s="138" t="s">
        <v>155</v>
      </c>
      <c r="N129" s="145">
        <f>+K129-[1]Julio!D150</f>
        <v>-661591667</v>
      </c>
    </row>
    <row r="130" spans="1:52" s="4" customFormat="1" ht="37.5" customHeight="1" x14ac:dyDescent="0.25">
      <c r="A130" s="137">
        <v>363</v>
      </c>
      <c r="B130" s="108"/>
      <c r="C130" s="109" t="s">
        <v>94</v>
      </c>
      <c r="D130" s="16">
        <f>+D131+D132</f>
        <v>2422081669</v>
      </c>
      <c r="E130" s="16">
        <f t="shared" ref="E130:I130" si="58">+E131+E132</f>
        <v>0</v>
      </c>
      <c r="F130" s="16">
        <f t="shared" si="58"/>
        <v>0</v>
      </c>
      <c r="G130" s="16">
        <f t="shared" si="58"/>
        <v>0</v>
      </c>
      <c r="H130" s="16">
        <f t="shared" si="58"/>
        <v>0</v>
      </c>
      <c r="I130" s="16">
        <f t="shared" si="58"/>
        <v>2422081669</v>
      </c>
      <c r="J130" s="16">
        <f t="shared" si="32"/>
        <v>-2422081669</v>
      </c>
      <c r="K130" s="16">
        <f t="shared" si="35"/>
        <v>0</v>
      </c>
      <c r="L130" s="16">
        <f>+L131+L132</f>
        <v>0</v>
      </c>
      <c r="M130" s="138" t="s">
        <v>155</v>
      </c>
      <c r="N130" s="145"/>
    </row>
    <row r="131" spans="1:52" s="4" customFormat="1" ht="63" x14ac:dyDescent="0.25">
      <c r="A131" s="137">
        <v>36326</v>
      </c>
      <c r="B131" s="108">
        <v>10</v>
      </c>
      <c r="C131" s="115" t="s">
        <v>95</v>
      </c>
      <c r="D131" s="16">
        <v>861300000</v>
      </c>
      <c r="E131" s="16">
        <v>0</v>
      </c>
      <c r="F131" s="16">
        <v>0</v>
      </c>
      <c r="G131" s="16">
        <v>0</v>
      </c>
      <c r="H131" s="16">
        <v>0</v>
      </c>
      <c r="I131" s="16">
        <v>861300000</v>
      </c>
      <c r="J131" s="16">
        <f t="shared" si="32"/>
        <v>-861300000</v>
      </c>
      <c r="K131" s="16">
        <f t="shared" si="35"/>
        <v>0</v>
      </c>
      <c r="L131" s="16"/>
      <c r="M131" s="138"/>
      <c r="N131" s="145"/>
    </row>
    <row r="132" spans="1:52" s="4" customFormat="1" ht="45.75" customHeight="1" thickBot="1" x14ac:dyDescent="0.3">
      <c r="A132" s="139">
        <v>36326</v>
      </c>
      <c r="B132" s="117">
        <v>21</v>
      </c>
      <c r="C132" s="151" t="s">
        <v>95</v>
      </c>
      <c r="D132" s="141">
        <v>1560781669</v>
      </c>
      <c r="E132" s="141">
        <v>0</v>
      </c>
      <c r="F132" s="141">
        <v>0</v>
      </c>
      <c r="G132" s="141">
        <v>0</v>
      </c>
      <c r="H132" s="141">
        <v>0</v>
      </c>
      <c r="I132" s="141">
        <v>1560781669</v>
      </c>
      <c r="J132" s="141">
        <f t="shared" si="32"/>
        <v>-1560781669</v>
      </c>
      <c r="K132" s="141">
        <f t="shared" si="35"/>
        <v>0</v>
      </c>
      <c r="L132" s="141">
        <v>0</v>
      </c>
      <c r="M132" s="142" t="s">
        <v>174</v>
      </c>
      <c r="N132" s="145"/>
    </row>
    <row r="133" spans="1:52" s="4" customFormat="1" ht="16.5" thickBot="1" x14ac:dyDescent="0.3">
      <c r="A133" s="89" t="s">
        <v>96</v>
      </c>
      <c r="B133" s="90"/>
      <c r="C133" s="119" t="s">
        <v>97</v>
      </c>
      <c r="D133" s="143">
        <f>+D134</f>
        <v>280078681946</v>
      </c>
      <c r="E133" s="143">
        <f t="shared" ref="E133:I135" si="59">+E134</f>
        <v>0</v>
      </c>
      <c r="F133" s="143">
        <f t="shared" si="59"/>
        <v>0</v>
      </c>
      <c r="G133" s="143">
        <f t="shared" si="59"/>
        <v>0</v>
      </c>
      <c r="H133" s="143">
        <f t="shared" si="59"/>
        <v>0</v>
      </c>
      <c r="I133" s="143">
        <f t="shared" si="59"/>
        <v>0</v>
      </c>
      <c r="J133" s="143">
        <f t="shared" si="32"/>
        <v>0</v>
      </c>
      <c r="K133" s="143">
        <f t="shared" si="35"/>
        <v>280078681946</v>
      </c>
      <c r="L133" s="143">
        <f t="shared" ref="L133:L134" si="60">+L134</f>
        <v>280078681946</v>
      </c>
      <c r="M133" s="144">
        <f t="shared" si="34"/>
        <v>1</v>
      </c>
      <c r="N133" s="145">
        <f>+K133-[1]Julio!D154</f>
        <v>106170681946</v>
      </c>
    </row>
    <row r="134" spans="1:52" s="4" customFormat="1" ht="15.75" x14ac:dyDescent="0.25">
      <c r="A134" s="135">
        <v>7</v>
      </c>
      <c r="B134" s="129"/>
      <c r="C134" s="130" t="s">
        <v>97</v>
      </c>
      <c r="D134" s="132">
        <f>+D135</f>
        <v>280078681946</v>
      </c>
      <c r="E134" s="132">
        <f t="shared" si="59"/>
        <v>0</v>
      </c>
      <c r="F134" s="132">
        <f t="shared" si="59"/>
        <v>0</v>
      </c>
      <c r="G134" s="132">
        <f t="shared" si="59"/>
        <v>0</v>
      </c>
      <c r="H134" s="132">
        <f t="shared" si="59"/>
        <v>0</v>
      </c>
      <c r="I134" s="132">
        <f t="shared" si="59"/>
        <v>0</v>
      </c>
      <c r="J134" s="132">
        <f t="shared" si="32"/>
        <v>0</v>
      </c>
      <c r="K134" s="132">
        <f t="shared" si="35"/>
        <v>280078681946</v>
      </c>
      <c r="L134" s="132">
        <f t="shared" si="60"/>
        <v>280078681946</v>
      </c>
      <c r="M134" s="136">
        <f t="shared" si="34"/>
        <v>1</v>
      </c>
      <c r="N134" s="145">
        <f>+K134-[1]Julio!D155</f>
        <v>106170681946</v>
      </c>
    </row>
    <row r="135" spans="1:52" s="4" customFormat="1" ht="33.75" customHeight="1" x14ac:dyDescent="0.25">
      <c r="A135" s="137">
        <v>71</v>
      </c>
      <c r="B135" s="108"/>
      <c r="C135" s="109" t="s">
        <v>98</v>
      </c>
      <c r="D135" s="16">
        <f>+D136</f>
        <v>280078681946</v>
      </c>
      <c r="E135" s="16">
        <f t="shared" si="59"/>
        <v>0</v>
      </c>
      <c r="F135" s="16">
        <f t="shared" si="59"/>
        <v>0</v>
      </c>
      <c r="G135" s="16">
        <f t="shared" si="59"/>
        <v>0</v>
      </c>
      <c r="H135" s="16">
        <f t="shared" si="59"/>
        <v>0</v>
      </c>
      <c r="I135" s="16">
        <f t="shared" si="59"/>
        <v>0</v>
      </c>
      <c r="J135" s="16">
        <f t="shared" si="32"/>
        <v>0</v>
      </c>
      <c r="K135" s="16">
        <f t="shared" si="35"/>
        <v>280078681946</v>
      </c>
      <c r="L135" s="16">
        <f>+L136</f>
        <v>280078681946</v>
      </c>
      <c r="M135" s="138">
        <f t="shared" si="34"/>
        <v>1</v>
      </c>
      <c r="N135" s="145">
        <f>+K135-[1]Julio!D156</f>
        <v>106170681946</v>
      </c>
    </row>
    <row r="136" spans="1:52" s="4" customFormat="1" ht="33.75" customHeight="1" thickBot="1" x14ac:dyDescent="0.3">
      <c r="A136" s="139">
        <v>711</v>
      </c>
      <c r="B136" s="117">
        <v>11</v>
      </c>
      <c r="C136" s="118" t="s">
        <v>99</v>
      </c>
      <c r="D136" s="141">
        <v>280078681946</v>
      </c>
      <c r="E136" s="141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f t="shared" si="32"/>
        <v>0</v>
      </c>
      <c r="K136" s="141">
        <f t="shared" si="35"/>
        <v>280078681946</v>
      </c>
      <c r="L136" s="141">
        <v>280078681946</v>
      </c>
      <c r="M136" s="142">
        <f t="shared" si="34"/>
        <v>1</v>
      </c>
      <c r="N136" s="145">
        <f>+K136-[1]Julio!D158</f>
        <v>178281681946</v>
      </c>
    </row>
    <row r="137" spans="1:52" s="4" customFormat="1" ht="19.5" customHeight="1" thickBot="1" x14ac:dyDescent="0.3">
      <c r="A137" s="89" t="s">
        <v>100</v>
      </c>
      <c r="B137" s="90"/>
      <c r="C137" s="119" t="s">
        <v>101</v>
      </c>
      <c r="D137" s="143">
        <f>+D138+D160+D163+D175</f>
        <v>1987977700000</v>
      </c>
      <c r="E137" s="143">
        <f t="shared" ref="E137:I137" si="61">+E138+E160+E163+E175</f>
        <v>0</v>
      </c>
      <c r="F137" s="143">
        <f t="shared" si="61"/>
        <v>0</v>
      </c>
      <c r="G137" s="143">
        <f t="shared" si="61"/>
        <v>0</v>
      </c>
      <c r="H137" s="143">
        <f t="shared" si="61"/>
        <v>7669736508</v>
      </c>
      <c r="I137" s="143">
        <f t="shared" si="61"/>
        <v>7669736508</v>
      </c>
      <c r="J137" s="143">
        <f t="shared" si="32"/>
        <v>0</v>
      </c>
      <c r="K137" s="143">
        <f>+K138+K160+K163+K175</f>
        <v>1987977700000</v>
      </c>
      <c r="L137" s="143">
        <f>+L138+L160+L163+L175</f>
        <v>1987349655344.47</v>
      </c>
      <c r="M137" s="144">
        <f t="shared" si="34"/>
        <v>0.99968407862144026</v>
      </c>
      <c r="N137" s="145">
        <f>+K137-[1]Julio!D159</f>
        <v>-248443463061</v>
      </c>
      <c r="O137" s="145"/>
      <c r="P137" s="145"/>
      <c r="AY137" s="146"/>
    </row>
    <row r="138" spans="1:52" s="4" customFormat="1" ht="30.75" customHeight="1" x14ac:dyDescent="0.25">
      <c r="A138" s="135">
        <v>113</v>
      </c>
      <c r="B138" s="129"/>
      <c r="C138" s="130" t="s">
        <v>102</v>
      </c>
      <c r="D138" s="132">
        <f>+D139+D152+D155+D158</f>
        <v>1900727277555</v>
      </c>
      <c r="E138" s="132">
        <f t="shared" ref="E138:I138" si="62">+E139+E152+E155+E158</f>
        <v>0</v>
      </c>
      <c r="F138" s="132">
        <f t="shared" si="62"/>
        <v>0</v>
      </c>
      <c r="G138" s="132">
        <f t="shared" si="62"/>
        <v>0</v>
      </c>
      <c r="H138" s="132">
        <f t="shared" si="62"/>
        <v>0</v>
      </c>
      <c r="I138" s="132">
        <f t="shared" si="62"/>
        <v>0</v>
      </c>
      <c r="J138" s="132">
        <f t="shared" si="32"/>
        <v>0</v>
      </c>
      <c r="K138" s="132">
        <f>D138+J138</f>
        <v>1900727277555</v>
      </c>
      <c r="L138" s="132">
        <f>+L139+L152+L155+L158</f>
        <v>1900724900497.22</v>
      </c>
      <c r="M138" s="136">
        <f t="shared" si="34"/>
        <v>0.99999874939566125</v>
      </c>
      <c r="N138" s="145">
        <f>+K138-[1]Julio!D160</f>
        <v>-146847052264</v>
      </c>
      <c r="O138" s="146"/>
      <c r="P138" s="146"/>
      <c r="AZ138" s="146"/>
    </row>
    <row r="139" spans="1:52" s="4" customFormat="1" ht="15.75" x14ac:dyDescent="0.25">
      <c r="A139" s="137">
        <v>113600</v>
      </c>
      <c r="B139" s="108"/>
      <c r="C139" s="109" t="s">
        <v>103</v>
      </c>
      <c r="D139" s="16">
        <f>SUM(D140:D151)</f>
        <v>1426101012625</v>
      </c>
      <c r="E139" s="16">
        <f t="shared" ref="E139:I139" si="63">SUM(E140:E151)</f>
        <v>0</v>
      </c>
      <c r="F139" s="16">
        <f t="shared" si="63"/>
        <v>0</v>
      </c>
      <c r="G139" s="16">
        <f t="shared" si="63"/>
        <v>0</v>
      </c>
      <c r="H139" s="16">
        <f t="shared" si="63"/>
        <v>0</v>
      </c>
      <c r="I139" s="16">
        <f t="shared" si="63"/>
        <v>0</v>
      </c>
      <c r="J139" s="16">
        <f t="shared" si="32"/>
        <v>0</v>
      </c>
      <c r="K139" s="16">
        <f t="shared" si="35"/>
        <v>1426101012625</v>
      </c>
      <c r="L139" s="16">
        <f>SUM(L140:L151)</f>
        <v>1426100993083</v>
      </c>
      <c r="M139" s="138">
        <f t="shared" si="34"/>
        <v>0.99999998629690334</v>
      </c>
      <c r="N139" s="145">
        <f>+K139-[1]Julio!D161</f>
        <v>-88677187375</v>
      </c>
      <c r="O139" s="146"/>
    </row>
    <row r="140" spans="1:52" s="149" customFormat="1" ht="63" x14ac:dyDescent="0.25">
      <c r="A140" s="140">
        <v>113600129</v>
      </c>
      <c r="B140" s="121">
        <v>11</v>
      </c>
      <c r="C140" s="115" t="s">
        <v>166</v>
      </c>
      <c r="D140" s="16">
        <v>129017012625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f t="shared" si="32"/>
        <v>0</v>
      </c>
      <c r="K140" s="16">
        <f t="shared" si="35"/>
        <v>129017012625</v>
      </c>
      <c r="L140" s="16">
        <f t="shared" si="35"/>
        <v>129017012625</v>
      </c>
      <c r="M140" s="138">
        <f t="shared" si="34"/>
        <v>1</v>
      </c>
      <c r="N140" s="147"/>
      <c r="O140" s="148"/>
    </row>
    <row r="141" spans="1:52" s="149" customFormat="1" ht="31.5" x14ac:dyDescent="0.25">
      <c r="A141" s="140">
        <v>113600130</v>
      </c>
      <c r="B141" s="121">
        <v>11</v>
      </c>
      <c r="C141" s="115" t="s">
        <v>167</v>
      </c>
      <c r="D141" s="16">
        <v>89000000000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f t="shared" si="32"/>
        <v>0</v>
      </c>
      <c r="K141" s="16">
        <f t="shared" si="35"/>
        <v>89000000000</v>
      </c>
      <c r="L141" s="16">
        <f t="shared" si="35"/>
        <v>89000000000</v>
      </c>
      <c r="M141" s="138">
        <f t="shared" si="34"/>
        <v>1</v>
      </c>
      <c r="N141" s="147"/>
      <c r="O141" s="148"/>
    </row>
    <row r="142" spans="1:52" s="149" customFormat="1" ht="31.5" x14ac:dyDescent="0.25">
      <c r="A142" s="140">
        <v>113600131</v>
      </c>
      <c r="B142" s="121">
        <v>11</v>
      </c>
      <c r="C142" s="115" t="s">
        <v>168</v>
      </c>
      <c r="D142" s="16">
        <v>36323700000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f t="shared" si="32"/>
        <v>0</v>
      </c>
      <c r="K142" s="16">
        <f t="shared" si="35"/>
        <v>36323700000</v>
      </c>
      <c r="L142" s="16">
        <f t="shared" si="35"/>
        <v>36323700000</v>
      </c>
      <c r="M142" s="138">
        <f t="shared" si="34"/>
        <v>1</v>
      </c>
      <c r="N142" s="147"/>
      <c r="O142" s="148"/>
    </row>
    <row r="143" spans="1:52" s="149" customFormat="1" ht="47.25" x14ac:dyDescent="0.25">
      <c r="A143" s="140">
        <v>113600132</v>
      </c>
      <c r="B143" s="121">
        <v>11</v>
      </c>
      <c r="C143" s="115" t="s">
        <v>169</v>
      </c>
      <c r="D143" s="16">
        <v>10000000000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f t="shared" ref="J143:J179" si="64">E143-F143-G143+H143-I143</f>
        <v>0</v>
      </c>
      <c r="K143" s="16">
        <f t="shared" si="35"/>
        <v>10000000000</v>
      </c>
      <c r="L143" s="16">
        <f t="shared" si="35"/>
        <v>10000000000</v>
      </c>
      <c r="M143" s="138">
        <f t="shared" si="34"/>
        <v>1</v>
      </c>
      <c r="N143" s="147"/>
      <c r="O143" s="148"/>
    </row>
    <row r="144" spans="1:52" s="149" customFormat="1" ht="47.25" x14ac:dyDescent="0.25">
      <c r="A144" s="140">
        <v>113600134</v>
      </c>
      <c r="B144" s="121">
        <v>20</v>
      </c>
      <c r="C144" s="115" t="s">
        <v>175</v>
      </c>
      <c r="D144" s="16">
        <v>21312600000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f t="shared" si="64"/>
        <v>0</v>
      </c>
      <c r="K144" s="16">
        <f t="shared" si="35"/>
        <v>21312600000</v>
      </c>
      <c r="L144" s="16">
        <f t="shared" si="35"/>
        <v>21312600000</v>
      </c>
      <c r="M144" s="138">
        <f t="shared" si="34"/>
        <v>1</v>
      </c>
      <c r="N144" s="147"/>
      <c r="O144" s="148"/>
    </row>
    <row r="145" spans="1:16" s="149" customFormat="1" ht="47.25" x14ac:dyDescent="0.25">
      <c r="A145" s="140">
        <v>113600135</v>
      </c>
      <c r="B145" s="121">
        <v>11</v>
      </c>
      <c r="C145" s="115" t="s">
        <v>176</v>
      </c>
      <c r="D145" s="16">
        <v>265373000000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f t="shared" si="64"/>
        <v>0</v>
      </c>
      <c r="K145" s="16">
        <f t="shared" si="35"/>
        <v>265373000000</v>
      </c>
      <c r="L145" s="16">
        <v>265372980458</v>
      </c>
      <c r="M145" s="138">
        <f t="shared" si="34"/>
        <v>0.99999992636025514</v>
      </c>
      <c r="N145" s="147"/>
      <c r="O145" s="148"/>
    </row>
    <row r="146" spans="1:16" s="149" customFormat="1" ht="47.25" x14ac:dyDescent="0.25">
      <c r="A146" s="140">
        <v>113600136</v>
      </c>
      <c r="B146" s="121">
        <v>11</v>
      </c>
      <c r="C146" s="115" t="s">
        <v>177</v>
      </c>
      <c r="D146" s="16">
        <v>805833700000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f t="shared" si="64"/>
        <v>0</v>
      </c>
      <c r="K146" s="16">
        <f t="shared" si="35"/>
        <v>805833700000</v>
      </c>
      <c r="L146" s="16">
        <f t="shared" si="35"/>
        <v>805833700000</v>
      </c>
      <c r="M146" s="138">
        <f t="shared" si="34"/>
        <v>1</v>
      </c>
      <c r="N146" s="147"/>
      <c r="O146" s="148"/>
    </row>
    <row r="147" spans="1:16" s="149" customFormat="1" ht="63" x14ac:dyDescent="0.25">
      <c r="A147" s="140">
        <v>113600138</v>
      </c>
      <c r="B147" s="121">
        <v>11</v>
      </c>
      <c r="C147" s="115" t="s">
        <v>178</v>
      </c>
      <c r="D147" s="16">
        <v>9241000000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f t="shared" si="64"/>
        <v>0</v>
      </c>
      <c r="K147" s="16">
        <f t="shared" si="35"/>
        <v>9241000000</v>
      </c>
      <c r="L147" s="16">
        <f t="shared" si="35"/>
        <v>9241000000</v>
      </c>
      <c r="M147" s="138">
        <f t="shared" si="34"/>
        <v>1</v>
      </c>
      <c r="N147" s="147"/>
      <c r="O147" s="148"/>
    </row>
    <row r="148" spans="1:16" s="149" customFormat="1" ht="99.75" customHeight="1" x14ac:dyDescent="0.25">
      <c r="A148" s="140">
        <v>113600143</v>
      </c>
      <c r="B148" s="121">
        <v>11</v>
      </c>
      <c r="C148" s="115" t="s">
        <v>189</v>
      </c>
      <c r="D148" s="16">
        <v>60000000000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f t="shared" si="64"/>
        <v>0</v>
      </c>
      <c r="K148" s="16">
        <f t="shared" si="35"/>
        <v>60000000000</v>
      </c>
      <c r="L148" s="16">
        <v>60000000000</v>
      </c>
      <c r="M148" s="138">
        <f t="shared" si="34"/>
        <v>1</v>
      </c>
      <c r="N148" s="147"/>
      <c r="O148" s="148"/>
    </row>
    <row r="149" spans="1:16" s="149" customFormat="1" ht="96.75" customHeight="1" x14ac:dyDescent="0.25">
      <c r="A149" s="140">
        <v>113600143</v>
      </c>
      <c r="B149" s="121">
        <v>20</v>
      </c>
      <c r="C149" s="115" t="s">
        <v>189</v>
      </c>
      <c r="D149" s="115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f t="shared" si="64"/>
        <v>0</v>
      </c>
      <c r="K149" s="16">
        <f t="shared" si="35"/>
        <v>0</v>
      </c>
      <c r="L149" s="16">
        <v>0</v>
      </c>
      <c r="M149" s="138" t="s">
        <v>156</v>
      </c>
      <c r="N149" s="147"/>
      <c r="O149" s="148"/>
    </row>
    <row r="150" spans="1:16" s="149" customFormat="1" ht="54.75" customHeight="1" x14ac:dyDescent="0.25">
      <c r="A150" s="140">
        <v>113600144</v>
      </c>
      <c r="B150" s="121">
        <v>11</v>
      </c>
      <c r="C150" s="115" t="s">
        <v>190</v>
      </c>
      <c r="D150" s="115">
        <v>0</v>
      </c>
      <c r="E150" s="16">
        <v>0</v>
      </c>
      <c r="F150" s="16">
        <v>0</v>
      </c>
      <c r="G150" s="16">
        <v>0</v>
      </c>
      <c r="H150" s="16">
        <v>0</v>
      </c>
      <c r="I150" s="115">
        <v>0</v>
      </c>
      <c r="J150" s="16">
        <f t="shared" si="64"/>
        <v>0</v>
      </c>
      <c r="K150" s="16">
        <f t="shared" si="35"/>
        <v>0</v>
      </c>
      <c r="L150" s="16">
        <v>0</v>
      </c>
      <c r="M150" s="138" t="s">
        <v>156</v>
      </c>
      <c r="N150" s="147"/>
      <c r="O150" s="148"/>
    </row>
    <row r="151" spans="1:16" s="149" customFormat="1" ht="57" customHeight="1" x14ac:dyDescent="0.25">
      <c r="A151" s="140">
        <v>113600145</v>
      </c>
      <c r="B151" s="121">
        <v>11</v>
      </c>
      <c r="C151" s="115" t="s">
        <v>191</v>
      </c>
      <c r="D151" s="115">
        <v>0</v>
      </c>
      <c r="E151" s="16">
        <v>0</v>
      </c>
      <c r="F151" s="16">
        <v>0</v>
      </c>
      <c r="G151" s="16">
        <v>0</v>
      </c>
      <c r="H151" s="16">
        <v>0</v>
      </c>
      <c r="I151" s="115">
        <v>0</v>
      </c>
      <c r="J151" s="16">
        <f t="shared" si="64"/>
        <v>0</v>
      </c>
      <c r="K151" s="16">
        <f t="shared" si="35"/>
        <v>0</v>
      </c>
      <c r="L151" s="16">
        <v>0</v>
      </c>
      <c r="M151" s="138" t="s">
        <v>156</v>
      </c>
      <c r="N151" s="147"/>
      <c r="O151" s="148"/>
    </row>
    <row r="152" spans="1:16" s="4" customFormat="1" ht="24.95" customHeight="1" x14ac:dyDescent="0.25">
      <c r="A152" s="137">
        <v>113601</v>
      </c>
      <c r="B152" s="108"/>
      <c r="C152" s="115" t="s">
        <v>179</v>
      </c>
      <c r="D152" s="16">
        <f t="shared" ref="D152:I152" si="65">SUM(D153:D154)</f>
        <v>381157000000</v>
      </c>
      <c r="E152" s="16">
        <f t="shared" si="65"/>
        <v>0</v>
      </c>
      <c r="F152" s="16">
        <f t="shared" si="65"/>
        <v>0</v>
      </c>
      <c r="G152" s="16">
        <f t="shared" si="65"/>
        <v>0</v>
      </c>
      <c r="H152" s="16">
        <f t="shared" si="65"/>
        <v>0</v>
      </c>
      <c r="I152" s="16">
        <f t="shared" si="65"/>
        <v>0</v>
      </c>
      <c r="J152" s="16">
        <f t="shared" si="64"/>
        <v>0</v>
      </c>
      <c r="K152" s="16">
        <f t="shared" si="35"/>
        <v>381157000000</v>
      </c>
      <c r="L152" s="16">
        <f>SUM(L153:L154)</f>
        <v>381157000000</v>
      </c>
      <c r="M152" s="138">
        <f t="shared" si="34"/>
        <v>1</v>
      </c>
      <c r="N152" s="145"/>
      <c r="O152" s="146"/>
    </row>
    <row r="153" spans="1:16" s="4" customFormat="1" ht="30.75" customHeight="1" x14ac:dyDescent="0.25">
      <c r="A153" s="137">
        <v>1136013</v>
      </c>
      <c r="B153" s="108">
        <v>11</v>
      </c>
      <c r="C153" s="109" t="s">
        <v>104</v>
      </c>
      <c r="D153" s="16">
        <v>351157000000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f t="shared" si="64"/>
        <v>0</v>
      </c>
      <c r="K153" s="16">
        <f t="shared" si="35"/>
        <v>351157000000</v>
      </c>
      <c r="L153" s="16">
        <f t="shared" si="35"/>
        <v>351157000000</v>
      </c>
      <c r="M153" s="138">
        <f t="shared" si="34"/>
        <v>1</v>
      </c>
      <c r="N153" s="145"/>
      <c r="O153" s="146"/>
    </row>
    <row r="154" spans="1:16" s="4" customFormat="1" ht="39" customHeight="1" x14ac:dyDescent="0.25">
      <c r="A154" s="137">
        <v>1136013</v>
      </c>
      <c r="B154" s="108">
        <v>20</v>
      </c>
      <c r="C154" s="109" t="s">
        <v>104</v>
      </c>
      <c r="D154" s="16">
        <v>30000000000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f t="shared" si="64"/>
        <v>0</v>
      </c>
      <c r="K154" s="16">
        <f t="shared" si="35"/>
        <v>30000000000</v>
      </c>
      <c r="L154" s="16">
        <f t="shared" si="35"/>
        <v>30000000000</v>
      </c>
      <c r="M154" s="138">
        <f t="shared" si="34"/>
        <v>1</v>
      </c>
      <c r="N154" s="145">
        <f>+K154-[1]Julio!D162</f>
        <v>-102417500000</v>
      </c>
      <c r="P154" s="146"/>
    </row>
    <row r="155" spans="1:16" s="4" customFormat="1" ht="27.75" customHeight="1" x14ac:dyDescent="0.25">
      <c r="A155" s="137">
        <v>113605</v>
      </c>
      <c r="B155" s="108"/>
      <c r="C155" s="109" t="s">
        <v>105</v>
      </c>
      <c r="D155" s="16">
        <f t="shared" ref="D155:I155" si="66">SUM(D156:D157)</f>
        <v>89844064930</v>
      </c>
      <c r="E155" s="16">
        <f t="shared" si="66"/>
        <v>0</v>
      </c>
      <c r="F155" s="16">
        <f t="shared" si="66"/>
        <v>0</v>
      </c>
      <c r="G155" s="16">
        <f t="shared" si="66"/>
        <v>0</v>
      </c>
      <c r="H155" s="16">
        <f t="shared" si="66"/>
        <v>0</v>
      </c>
      <c r="I155" s="16">
        <f t="shared" si="66"/>
        <v>0</v>
      </c>
      <c r="J155" s="16">
        <f t="shared" si="64"/>
        <v>0</v>
      </c>
      <c r="K155" s="16">
        <f t="shared" si="35"/>
        <v>89844064930</v>
      </c>
      <c r="L155" s="16">
        <f>SUM(L156:L157)</f>
        <v>89841707414.220001</v>
      </c>
      <c r="M155" s="138">
        <f t="shared" si="34"/>
        <v>0.9999737599163413</v>
      </c>
      <c r="N155" s="145"/>
      <c r="P155" s="146"/>
    </row>
    <row r="156" spans="1:16" s="4" customFormat="1" ht="53.25" customHeight="1" x14ac:dyDescent="0.25">
      <c r="A156" s="137">
        <v>1136057</v>
      </c>
      <c r="B156" s="108">
        <v>20</v>
      </c>
      <c r="C156" s="109" t="s">
        <v>106</v>
      </c>
      <c r="D156" s="16">
        <v>85237464930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f t="shared" si="64"/>
        <v>0</v>
      </c>
      <c r="K156" s="16">
        <f t="shared" si="35"/>
        <v>85237464930</v>
      </c>
      <c r="L156" s="16">
        <v>85237282622.220001</v>
      </c>
      <c r="M156" s="138">
        <f t="shared" ref="M156:M179" si="67">+L156/K156</f>
        <v>0.99999786117782663</v>
      </c>
      <c r="N156" s="145"/>
      <c r="P156" s="146"/>
    </row>
    <row r="157" spans="1:16" s="4" customFormat="1" ht="54.75" customHeight="1" x14ac:dyDescent="0.25">
      <c r="A157" s="137">
        <v>1136057</v>
      </c>
      <c r="B157" s="108">
        <v>21</v>
      </c>
      <c r="C157" s="109" t="s">
        <v>106</v>
      </c>
      <c r="D157" s="16">
        <v>4606600000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f t="shared" si="64"/>
        <v>0</v>
      </c>
      <c r="K157" s="16">
        <f t="shared" si="35"/>
        <v>4606600000</v>
      </c>
      <c r="L157" s="16">
        <v>4604424792</v>
      </c>
      <c r="M157" s="138">
        <f t="shared" si="67"/>
        <v>0.99952780619111714</v>
      </c>
      <c r="N157" s="145"/>
      <c r="P157" s="146"/>
    </row>
    <row r="158" spans="1:16" s="4" customFormat="1" ht="28.5" customHeight="1" x14ac:dyDescent="0.25">
      <c r="A158" s="137">
        <v>113607</v>
      </c>
      <c r="B158" s="108"/>
      <c r="C158" s="109" t="s">
        <v>159</v>
      </c>
      <c r="D158" s="16">
        <f>+D159</f>
        <v>3625200000</v>
      </c>
      <c r="E158" s="16">
        <f t="shared" ref="E158:I158" si="68">+E159</f>
        <v>0</v>
      </c>
      <c r="F158" s="16">
        <f t="shared" si="68"/>
        <v>0</v>
      </c>
      <c r="G158" s="16">
        <f t="shared" si="68"/>
        <v>0</v>
      </c>
      <c r="H158" s="16">
        <f t="shared" si="68"/>
        <v>0</v>
      </c>
      <c r="I158" s="16">
        <f t="shared" si="68"/>
        <v>0</v>
      </c>
      <c r="J158" s="16">
        <f t="shared" si="64"/>
        <v>0</v>
      </c>
      <c r="K158" s="16">
        <f t="shared" si="35"/>
        <v>3625200000</v>
      </c>
      <c r="L158" s="16">
        <f>+L159</f>
        <v>3625200000</v>
      </c>
      <c r="M158" s="138">
        <f t="shared" si="67"/>
        <v>1</v>
      </c>
      <c r="N158" s="145"/>
      <c r="P158" s="146"/>
    </row>
    <row r="159" spans="1:16" s="4" customFormat="1" ht="38.25" customHeight="1" x14ac:dyDescent="0.25">
      <c r="A159" s="137">
        <v>1136071</v>
      </c>
      <c r="B159" s="108">
        <v>20</v>
      </c>
      <c r="C159" s="109" t="s">
        <v>160</v>
      </c>
      <c r="D159" s="16">
        <v>3625200000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f t="shared" si="64"/>
        <v>0</v>
      </c>
      <c r="K159" s="16">
        <f t="shared" si="35"/>
        <v>3625200000</v>
      </c>
      <c r="L159" s="16">
        <v>3625200000</v>
      </c>
      <c r="M159" s="138">
        <f t="shared" si="67"/>
        <v>1</v>
      </c>
      <c r="N159" s="145"/>
      <c r="P159" s="146"/>
    </row>
    <row r="160" spans="1:16" s="4" customFormat="1" ht="54" customHeight="1" x14ac:dyDescent="0.25">
      <c r="A160" s="137">
        <v>223</v>
      </c>
      <c r="B160" s="108"/>
      <c r="C160" s="109" t="s">
        <v>180</v>
      </c>
      <c r="D160" s="16">
        <f>+D161</f>
        <v>2000000000</v>
      </c>
      <c r="E160" s="16">
        <f t="shared" ref="E160:I161" si="69">+E161</f>
        <v>0</v>
      </c>
      <c r="F160" s="16">
        <f t="shared" si="69"/>
        <v>0</v>
      </c>
      <c r="G160" s="16">
        <f t="shared" si="69"/>
        <v>0</v>
      </c>
      <c r="H160" s="16">
        <f t="shared" si="69"/>
        <v>0</v>
      </c>
      <c r="I160" s="16">
        <f t="shared" si="69"/>
        <v>0</v>
      </c>
      <c r="J160" s="16">
        <f t="shared" si="64"/>
        <v>0</v>
      </c>
      <c r="K160" s="16">
        <f t="shared" si="35"/>
        <v>2000000000</v>
      </c>
      <c r="L160" s="16">
        <f>+L161</f>
        <v>2000000000</v>
      </c>
      <c r="M160" s="138">
        <f t="shared" si="67"/>
        <v>1</v>
      </c>
      <c r="N160" s="145"/>
      <c r="P160" s="146"/>
    </row>
    <row r="161" spans="1:52" s="4" customFormat="1" ht="30" customHeight="1" x14ac:dyDescent="0.25">
      <c r="A161" s="137">
        <v>223600</v>
      </c>
      <c r="B161" s="108"/>
      <c r="C161" s="109" t="s">
        <v>181</v>
      </c>
      <c r="D161" s="16">
        <f>+D162</f>
        <v>2000000000</v>
      </c>
      <c r="E161" s="16">
        <f t="shared" si="69"/>
        <v>0</v>
      </c>
      <c r="F161" s="16">
        <f t="shared" si="69"/>
        <v>0</v>
      </c>
      <c r="G161" s="16">
        <f t="shared" si="69"/>
        <v>0</v>
      </c>
      <c r="H161" s="16">
        <f t="shared" si="69"/>
        <v>0</v>
      </c>
      <c r="I161" s="16">
        <f t="shared" si="69"/>
        <v>0</v>
      </c>
      <c r="J161" s="16">
        <f t="shared" si="64"/>
        <v>0</v>
      </c>
      <c r="K161" s="16">
        <f t="shared" si="35"/>
        <v>2000000000</v>
      </c>
      <c r="L161" s="16">
        <f>+L162</f>
        <v>2000000000</v>
      </c>
      <c r="M161" s="138">
        <f t="shared" si="67"/>
        <v>1</v>
      </c>
      <c r="N161" s="145"/>
      <c r="P161" s="146"/>
    </row>
    <row r="162" spans="1:52" s="4" customFormat="1" ht="87.75" customHeight="1" x14ac:dyDescent="0.25">
      <c r="A162" s="137">
        <v>2236001</v>
      </c>
      <c r="B162" s="108">
        <v>20</v>
      </c>
      <c r="C162" s="109" t="s">
        <v>182</v>
      </c>
      <c r="D162" s="16">
        <v>2000000000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64"/>
        <v>0</v>
      </c>
      <c r="K162" s="16">
        <f>D162+J162</f>
        <v>2000000000</v>
      </c>
      <c r="L162" s="16">
        <v>2000000000</v>
      </c>
      <c r="M162" s="138">
        <f t="shared" si="67"/>
        <v>1</v>
      </c>
      <c r="N162" s="145"/>
      <c r="P162" s="146"/>
    </row>
    <row r="163" spans="1:52" s="4" customFormat="1" ht="67.5" customHeight="1" x14ac:dyDescent="0.25">
      <c r="A163" s="137">
        <v>520</v>
      </c>
      <c r="B163" s="108"/>
      <c r="C163" s="109" t="s">
        <v>161</v>
      </c>
      <c r="D163" s="16">
        <f>+D164+D173</f>
        <v>24528135070</v>
      </c>
      <c r="E163" s="16">
        <f t="shared" ref="E163:I163" si="70">+E164+E173</f>
        <v>0</v>
      </c>
      <c r="F163" s="16">
        <f t="shared" si="70"/>
        <v>0</v>
      </c>
      <c r="G163" s="16">
        <f t="shared" si="70"/>
        <v>0</v>
      </c>
      <c r="H163" s="16">
        <f t="shared" si="70"/>
        <v>7669736508</v>
      </c>
      <c r="I163" s="16">
        <f t="shared" si="70"/>
        <v>7669736508</v>
      </c>
      <c r="J163" s="16">
        <f t="shared" si="64"/>
        <v>0</v>
      </c>
      <c r="K163" s="16">
        <f>D163+J163</f>
        <v>24528135070</v>
      </c>
      <c r="L163" s="16">
        <f>+L164+L173</f>
        <v>23902467472.75</v>
      </c>
      <c r="M163" s="138">
        <f t="shared" si="67"/>
        <v>0.97449183986208376</v>
      </c>
      <c r="N163" s="145"/>
      <c r="P163" s="146"/>
      <c r="AZ163" s="146"/>
    </row>
    <row r="164" spans="1:52" s="4" customFormat="1" ht="31.5" customHeight="1" x14ac:dyDescent="0.25">
      <c r="A164" s="137">
        <v>520600</v>
      </c>
      <c r="B164" s="108"/>
      <c r="C164" s="109" t="s">
        <v>103</v>
      </c>
      <c r="D164" s="16">
        <f>SUM(D165:D172)</f>
        <v>23528135070</v>
      </c>
      <c r="E164" s="16">
        <f t="shared" ref="E164:G164" si="71">SUM(E165:E169)</f>
        <v>0</v>
      </c>
      <c r="F164" s="16">
        <f t="shared" si="71"/>
        <v>0</v>
      </c>
      <c r="G164" s="16">
        <f t="shared" si="71"/>
        <v>0</v>
      </c>
      <c r="H164" s="16">
        <f t="shared" ref="H164:I164" si="72">SUM(H165:H172)</f>
        <v>7669736508</v>
      </c>
      <c r="I164" s="16">
        <f t="shared" si="72"/>
        <v>7669736508</v>
      </c>
      <c r="J164" s="16">
        <f t="shared" si="64"/>
        <v>0</v>
      </c>
      <c r="K164" s="16">
        <f>D164+J164</f>
        <v>23528135070</v>
      </c>
      <c r="L164" s="16">
        <f>SUM(L165:L172)</f>
        <v>22902467472.75</v>
      </c>
      <c r="M164" s="138">
        <f t="shared" si="67"/>
        <v>0.97340768423045265</v>
      </c>
      <c r="N164" s="154"/>
      <c r="O164" s="16"/>
      <c r="P164" s="16"/>
    </row>
    <row r="165" spans="1:52" s="4" customFormat="1" ht="72" customHeight="1" x14ac:dyDescent="0.25">
      <c r="A165" s="137">
        <v>5206001</v>
      </c>
      <c r="B165" s="108">
        <v>20</v>
      </c>
      <c r="C165" s="109" t="s">
        <v>171</v>
      </c>
      <c r="D165" s="16">
        <v>3228135070</v>
      </c>
      <c r="E165" s="16">
        <v>0</v>
      </c>
      <c r="F165" s="16">
        <v>0</v>
      </c>
      <c r="G165" s="16">
        <v>0</v>
      </c>
      <c r="H165" s="16">
        <v>0</v>
      </c>
      <c r="I165" s="16">
        <v>1000000000</v>
      </c>
      <c r="J165" s="16">
        <f t="shared" si="64"/>
        <v>-1000000000</v>
      </c>
      <c r="K165" s="16">
        <f t="shared" si="35"/>
        <v>2228135070</v>
      </c>
      <c r="L165" s="16">
        <v>2228134974</v>
      </c>
      <c r="M165" s="138">
        <f t="shared" si="67"/>
        <v>0.99999995691464072</v>
      </c>
      <c r="N165" s="145"/>
      <c r="P165" s="146"/>
    </row>
    <row r="166" spans="1:52" s="4" customFormat="1" ht="57" customHeight="1" x14ac:dyDescent="0.25">
      <c r="A166" s="137">
        <v>5206002</v>
      </c>
      <c r="B166" s="108">
        <v>10</v>
      </c>
      <c r="C166" s="109" t="s">
        <v>183</v>
      </c>
      <c r="D166" s="16">
        <v>2838000000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64"/>
        <v>0</v>
      </c>
      <c r="K166" s="16">
        <f t="shared" si="35"/>
        <v>2838000000</v>
      </c>
      <c r="L166" s="16">
        <v>2776985260.5</v>
      </c>
      <c r="M166" s="138">
        <f t="shared" si="67"/>
        <v>0.97850079651162791</v>
      </c>
      <c r="N166" s="145"/>
      <c r="P166" s="146"/>
    </row>
    <row r="167" spans="1:52" s="4" customFormat="1" ht="60" customHeight="1" x14ac:dyDescent="0.25">
      <c r="A167" s="137">
        <v>5206002</v>
      </c>
      <c r="B167" s="108">
        <v>20</v>
      </c>
      <c r="C167" s="109" t="s">
        <v>183</v>
      </c>
      <c r="D167" s="16">
        <v>12536000000</v>
      </c>
      <c r="E167" s="16">
        <v>0</v>
      </c>
      <c r="F167" s="16">
        <v>0</v>
      </c>
      <c r="G167" s="16">
        <v>0</v>
      </c>
      <c r="H167" s="16">
        <v>0</v>
      </c>
      <c r="I167" s="16">
        <f>5000000000+91999804</f>
        <v>5091999804</v>
      </c>
      <c r="J167" s="16">
        <f t="shared" si="64"/>
        <v>-5091999804</v>
      </c>
      <c r="K167" s="16">
        <f t="shared" si="35"/>
        <v>7444000196</v>
      </c>
      <c r="L167" s="16">
        <v>7143602770</v>
      </c>
      <c r="M167" s="138">
        <f t="shared" si="67"/>
        <v>0.95964569880567474</v>
      </c>
      <c r="N167" s="145"/>
      <c r="P167" s="146"/>
    </row>
    <row r="168" spans="1:52" s="4" customFormat="1" ht="58.5" customHeight="1" x14ac:dyDescent="0.25">
      <c r="A168" s="137">
        <v>5206002</v>
      </c>
      <c r="B168" s="108">
        <v>21</v>
      </c>
      <c r="C168" s="109" t="s">
        <v>183</v>
      </c>
      <c r="D168" s="16">
        <v>4626000000</v>
      </c>
      <c r="E168" s="16">
        <v>0</v>
      </c>
      <c r="F168" s="16">
        <v>0</v>
      </c>
      <c r="G168" s="16">
        <v>0</v>
      </c>
      <c r="H168" s="16">
        <v>0</v>
      </c>
      <c r="I168" s="16">
        <v>1577736704</v>
      </c>
      <c r="J168" s="16">
        <f t="shared" si="64"/>
        <v>-1577736704</v>
      </c>
      <c r="K168" s="16">
        <f t="shared" si="35"/>
        <v>3048263296</v>
      </c>
      <c r="L168" s="16">
        <v>2990081723</v>
      </c>
      <c r="M168" s="138">
        <f t="shared" si="67"/>
        <v>0.98091320619306499</v>
      </c>
      <c r="N168" s="145"/>
      <c r="P168" s="146"/>
    </row>
    <row r="169" spans="1:52" s="4" customFormat="1" ht="70.5" customHeight="1" x14ac:dyDescent="0.25">
      <c r="A169" s="137">
        <v>5206003</v>
      </c>
      <c r="B169" s="108">
        <v>20</v>
      </c>
      <c r="C169" s="109" t="s">
        <v>184</v>
      </c>
      <c r="D169" s="16">
        <v>300000000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64"/>
        <v>0</v>
      </c>
      <c r="K169" s="16">
        <f t="shared" si="35"/>
        <v>300000000</v>
      </c>
      <c r="L169" s="16">
        <v>300000000</v>
      </c>
      <c r="M169" s="138">
        <f t="shared" si="67"/>
        <v>1</v>
      </c>
      <c r="N169" s="145"/>
      <c r="P169" s="146"/>
    </row>
    <row r="170" spans="1:52" s="4" customFormat="1" ht="53.25" customHeight="1" x14ac:dyDescent="0.25">
      <c r="A170" s="137">
        <v>5206007</v>
      </c>
      <c r="B170" s="108">
        <v>20</v>
      </c>
      <c r="C170" s="109" t="s">
        <v>192</v>
      </c>
      <c r="D170" s="16">
        <v>0</v>
      </c>
      <c r="E170" s="16">
        <v>0</v>
      </c>
      <c r="F170" s="16">
        <v>0</v>
      </c>
      <c r="G170" s="16">
        <v>0</v>
      </c>
      <c r="H170" s="16">
        <v>6000000000</v>
      </c>
      <c r="I170" s="16">
        <v>0</v>
      </c>
      <c r="J170" s="16">
        <f t="shared" si="64"/>
        <v>6000000000</v>
      </c>
      <c r="K170" s="16">
        <f t="shared" ref="K170:K178" si="73">D170+J170</f>
        <v>6000000000</v>
      </c>
      <c r="L170" s="16">
        <v>5839974564.25</v>
      </c>
      <c r="M170" s="138">
        <f t="shared" si="67"/>
        <v>0.97332909404166668</v>
      </c>
      <c r="N170" s="145"/>
      <c r="P170" s="146"/>
    </row>
    <row r="171" spans="1:52" s="4" customFormat="1" ht="57" customHeight="1" x14ac:dyDescent="0.25">
      <c r="A171" s="137">
        <v>5206007</v>
      </c>
      <c r="B171" s="108">
        <v>21</v>
      </c>
      <c r="C171" s="109" t="s">
        <v>192</v>
      </c>
      <c r="D171" s="16">
        <v>0</v>
      </c>
      <c r="E171" s="16">
        <v>0</v>
      </c>
      <c r="F171" s="16">
        <v>0</v>
      </c>
      <c r="G171" s="16">
        <v>0</v>
      </c>
      <c r="H171" s="16">
        <v>1577736704</v>
      </c>
      <c r="I171" s="16">
        <v>0</v>
      </c>
      <c r="J171" s="16">
        <f t="shared" si="64"/>
        <v>1577736704</v>
      </c>
      <c r="K171" s="16">
        <f t="shared" si="73"/>
        <v>1577736704</v>
      </c>
      <c r="L171" s="16">
        <v>1531688377</v>
      </c>
      <c r="M171" s="138">
        <f t="shared" si="67"/>
        <v>0.97081368083581077</v>
      </c>
      <c r="N171" s="145"/>
      <c r="P171" s="146"/>
    </row>
    <row r="172" spans="1:52" s="4" customFormat="1" ht="87" customHeight="1" x14ac:dyDescent="0.25">
      <c r="A172" s="137">
        <v>5206008</v>
      </c>
      <c r="B172" s="108">
        <v>20</v>
      </c>
      <c r="C172" s="109" t="s">
        <v>193</v>
      </c>
      <c r="D172" s="16">
        <v>0</v>
      </c>
      <c r="E172" s="16">
        <v>0</v>
      </c>
      <c r="F172" s="16">
        <v>0</v>
      </c>
      <c r="G172" s="16">
        <v>0</v>
      </c>
      <c r="H172" s="16">
        <v>91999804</v>
      </c>
      <c r="I172" s="16">
        <v>0</v>
      </c>
      <c r="J172" s="16">
        <f t="shared" si="64"/>
        <v>91999804</v>
      </c>
      <c r="K172" s="16">
        <f t="shared" si="73"/>
        <v>91999804</v>
      </c>
      <c r="L172" s="16">
        <v>91999804</v>
      </c>
      <c r="M172" s="138">
        <f t="shared" si="67"/>
        <v>1</v>
      </c>
      <c r="N172" s="145"/>
      <c r="P172" s="146"/>
    </row>
    <row r="173" spans="1:52" s="4" customFormat="1" ht="31.5" customHeight="1" x14ac:dyDescent="0.25">
      <c r="A173" s="137">
        <v>520608</v>
      </c>
      <c r="B173" s="108"/>
      <c r="C173" s="109" t="s">
        <v>185</v>
      </c>
      <c r="D173" s="16">
        <f>+D174</f>
        <v>1000000000</v>
      </c>
      <c r="E173" s="16">
        <f t="shared" ref="E173:I173" si="74">+E174</f>
        <v>0</v>
      </c>
      <c r="F173" s="16">
        <f t="shared" si="74"/>
        <v>0</v>
      </c>
      <c r="G173" s="16">
        <f t="shared" si="74"/>
        <v>0</v>
      </c>
      <c r="H173" s="16">
        <f t="shared" si="74"/>
        <v>0</v>
      </c>
      <c r="I173" s="16">
        <f t="shared" si="74"/>
        <v>0</v>
      </c>
      <c r="J173" s="16">
        <f t="shared" si="64"/>
        <v>0</v>
      </c>
      <c r="K173" s="16">
        <f t="shared" si="73"/>
        <v>1000000000</v>
      </c>
      <c r="L173" s="16">
        <f>+L174</f>
        <v>1000000000</v>
      </c>
      <c r="M173" s="138">
        <f t="shared" si="67"/>
        <v>1</v>
      </c>
      <c r="N173" s="145"/>
      <c r="P173" s="146"/>
    </row>
    <row r="174" spans="1:52" s="4" customFormat="1" ht="75" customHeight="1" x14ac:dyDescent="0.25">
      <c r="A174" s="137">
        <v>5206081</v>
      </c>
      <c r="B174" s="108">
        <v>20</v>
      </c>
      <c r="C174" s="109" t="s">
        <v>186</v>
      </c>
      <c r="D174" s="16">
        <v>1000000000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f t="shared" si="64"/>
        <v>0</v>
      </c>
      <c r="K174" s="16">
        <f t="shared" si="73"/>
        <v>1000000000</v>
      </c>
      <c r="L174" s="16">
        <v>1000000000</v>
      </c>
      <c r="M174" s="138">
        <f t="shared" si="67"/>
        <v>1</v>
      </c>
      <c r="N174" s="145"/>
      <c r="P174" s="146"/>
    </row>
    <row r="175" spans="1:52" s="4" customFormat="1" ht="54.75" customHeight="1" x14ac:dyDescent="0.25">
      <c r="A175" s="137">
        <v>530</v>
      </c>
      <c r="B175" s="108"/>
      <c r="C175" s="109" t="s">
        <v>107</v>
      </c>
      <c r="D175" s="16">
        <f>+D176</f>
        <v>60722287375</v>
      </c>
      <c r="E175" s="16">
        <f t="shared" ref="E175:I175" si="75">+E176</f>
        <v>0</v>
      </c>
      <c r="F175" s="16">
        <f t="shared" si="75"/>
        <v>0</v>
      </c>
      <c r="G175" s="16">
        <f t="shared" si="75"/>
        <v>0</v>
      </c>
      <c r="H175" s="16">
        <f t="shared" si="75"/>
        <v>0</v>
      </c>
      <c r="I175" s="16">
        <f t="shared" si="75"/>
        <v>0</v>
      </c>
      <c r="J175" s="16">
        <f t="shared" si="64"/>
        <v>0</v>
      </c>
      <c r="K175" s="16">
        <f t="shared" si="73"/>
        <v>60722287375</v>
      </c>
      <c r="L175" s="16">
        <f>+L176</f>
        <v>60722287374.5</v>
      </c>
      <c r="M175" s="138">
        <f t="shared" si="67"/>
        <v>0.99999999999176581</v>
      </c>
      <c r="N175" s="145"/>
    </row>
    <row r="176" spans="1:52" s="4" customFormat="1" ht="29.25" customHeight="1" x14ac:dyDescent="0.25">
      <c r="A176" s="137">
        <v>530600</v>
      </c>
      <c r="B176" s="108"/>
      <c r="C176" s="109" t="s">
        <v>103</v>
      </c>
      <c r="D176" s="16">
        <f>+D177+D178</f>
        <v>60722287375</v>
      </c>
      <c r="E176" s="16">
        <f t="shared" ref="E176:I176" si="76">+E177+E178</f>
        <v>0</v>
      </c>
      <c r="F176" s="16">
        <f t="shared" si="76"/>
        <v>0</v>
      </c>
      <c r="G176" s="16">
        <f t="shared" si="76"/>
        <v>0</v>
      </c>
      <c r="H176" s="16">
        <f t="shared" si="76"/>
        <v>0</v>
      </c>
      <c r="I176" s="16">
        <f t="shared" si="76"/>
        <v>0</v>
      </c>
      <c r="J176" s="16">
        <f t="shared" si="64"/>
        <v>0</v>
      </c>
      <c r="K176" s="16">
        <f t="shared" si="73"/>
        <v>60722287375</v>
      </c>
      <c r="L176" s="16">
        <f>+L177+L178</f>
        <v>60722287374.5</v>
      </c>
      <c r="M176" s="138">
        <f t="shared" si="67"/>
        <v>0.99999999999176581</v>
      </c>
      <c r="N176" s="145"/>
    </row>
    <row r="177" spans="1:54" s="4" customFormat="1" ht="75" customHeight="1" x14ac:dyDescent="0.25">
      <c r="A177" s="137">
        <v>5306003</v>
      </c>
      <c r="B177" s="108">
        <v>11</v>
      </c>
      <c r="C177" s="109" t="s">
        <v>187</v>
      </c>
      <c r="D177" s="16">
        <v>33707287375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f t="shared" si="64"/>
        <v>0</v>
      </c>
      <c r="K177" s="16">
        <f t="shared" si="73"/>
        <v>33707287375</v>
      </c>
      <c r="L177" s="16">
        <v>33707287375</v>
      </c>
      <c r="M177" s="138">
        <f t="shared" si="67"/>
        <v>1</v>
      </c>
      <c r="N177" s="145"/>
    </row>
    <row r="178" spans="1:54" s="4" customFormat="1" ht="75.75" customHeight="1" thickBot="1" x14ac:dyDescent="0.3">
      <c r="A178" s="137">
        <v>5306003</v>
      </c>
      <c r="B178" s="108">
        <v>20</v>
      </c>
      <c r="C178" s="109" t="s">
        <v>187</v>
      </c>
      <c r="D178" s="16">
        <v>27015000000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64"/>
        <v>0</v>
      </c>
      <c r="K178" s="16">
        <f t="shared" si="73"/>
        <v>27015000000</v>
      </c>
      <c r="L178" s="16">
        <v>27014999999.5</v>
      </c>
      <c r="M178" s="138">
        <f t="shared" si="67"/>
        <v>0.99999999998149181</v>
      </c>
      <c r="N178" s="145"/>
    </row>
    <row r="179" spans="1:54" s="21" customFormat="1" ht="37.5" customHeight="1" thickBot="1" x14ac:dyDescent="0.3">
      <c r="A179" s="258" t="s">
        <v>108</v>
      </c>
      <c r="B179" s="259"/>
      <c r="C179" s="260"/>
      <c r="D179" s="105">
        <f t="shared" ref="D179:L179" si="77">+D11+D133+D137</f>
        <v>2339516321946</v>
      </c>
      <c r="E179" s="105">
        <f t="shared" si="77"/>
        <v>0</v>
      </c>
      <c r="F179" s="105">
        <f t="shared" si="77"/>
        <v>0</v>
      </c>
      <c r="G179" s="105">
        <f t="shared" si="77"/>
        <v>0</v>
      </c>
      <c r="H179" s="105">
        <f t="shared" si="77"/>
        <v>20185013748</v>
      </c>
      <c r="I179" s="105">
        <f t="shared" si="77"/>
        <v>20185013748</v>
      </c>
      <c r="J179" s="105">
        <f t="shared" si="64"/>
        <v>0</v>
      </c>
      <c r="K179" s="105">
        <f t="shared" si="77"/>
        <v>2339516321946</v>
      </c>
      <c r="L179" s="105">
        <f t="shared" si="77"/>
        <v>2338109012484.0601</v>
      </c>
      <c r="M179" s="106">
        <f t="shared" si="67"/>
        <v>0.9993984613619753</v>
      </c>
    </row>
    <row r="180" spans="1:54" s="4" customFormat="1" x14ac:dyDescent="0.25">
      <c r="B180" s="15"/>
      <c r="C180" s="11"/>
      <c r="D180" s="12"/>
      <c r="E180" s="12"/>
      <c r="F180" s="12"/>
      <c r="G180" s="12"/>
      <c r="H180" s="12"/>
      <c r="I180" s="12"/>
      <c r="J180" s="12"/>
      <c r="K180" s="12"/>
      <c r="L180" s="12"/>
      <c r="M180" s="19"/>
    </row>
    <row r="181" spans="1:54" s="12" customFormat="1" ht="30" x14ac:dyDescent="0.25">
      <c r="A181" s="153" t="s">
        <v>173</v>
      </c>
      <c r="B181" s="15"/>
      <c r="C181" s="11"/>
      <c r="M181" s="19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s="4" customFormat="1" x14ac:dyDescent="0.25">
      <c r="B182" s="15"/>
      <c r="C182" s="11"/>
      <c r="D182" s="12"/>
      <c r="E182" s="12"/>
      <c r="F182" s="12"/>
      <c r="G182" s="12"/>
      <c r="H182" s="12"/>
      <c r="I182" s="12"/>
      <c r="J182" s="12"/>
      <c r="K182" s="12"/>
      <c r="L182" s="12"/>
      <c r="M182" s="19"/>
    </row>
  </sheetData>
  <mergeCells count="9">
    <mergeCell ref="A179:C179"/>
    <mergeCell ref="K8:K9"/>
    <mergeCell ref="L8:L9"/>
    <mergeCell ref="M8:M9"/>
    <mergeCell ref="A8:A10"/>
    <mergeCell ref="C8:C10"/>
    <mergeCell ref="D8:D9"/>
    <mergeCell ref="E8:J8"/>
    <mergeCell ref="B8:B10"/>
  </mergeCells>
  <printOptions horizontalCentered="1" verticalCentered="1"/>
  <pageMargins left="0.31496062992125984" right="0.31496062992125984" top="0.74803149606299213" bottom="0.55118110236220474" header="0.31496062992125984" footer="0.31496062992125984"/>
  <pageSetup paperSize="261" scale="65" orientation="landscape" r:id="rId1"/>
  <headerFooter>
    <oddFooter>&amp;CPágina&amp;P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907C0-65AA-4C3B-95F7-BC3C131FC910}">
  <sheetPr>
    <tabColor theme="9"/>
  </sheetPr>
  <dimension ref="A1:M158"/>
  <sheetViews>
    <sheetView workbookViewId="0">
      <selection activeCell="B8" sqref="B8:B10"/>
    </sheetView>
  </sheetViews>
  <sheetFormatPr baseColWidth="10" defaultRowHeight="15" x14ac:dyDescent="0.25"/>
  <cols>
    <col min="3" max="3" width="25.42578125" customWidth="1"/>
    <col min="4" max="4" width="21.42578125" customWidth="1"/>
    <col min="5" max="10" width="11.42578125" hidden="1" customWidth="1"/>
    <col min="11" max="11" width="22.5703125" customWidth="1"/>
    <col min="12" max="12" width="22.85546875" customWidth="1"/>
    <col min="13" max="13" width="16.5703125" customWidth="1"/>
  </cols>
  <sheetData>
    <row r="1" spans="1:13" ht="15.75" thickBot="1" x14ac:dyDescent="0.3">
      <c r="A1" s="4"/>
      <c r="B1" s="15"/>
      <c r="C1" s="11"/>
      <c r="D1" s="12"/>
      <c r="E1" s="12"/>
      <c r="F1" s="12"/>
      <c r="G1" s="12"/>
      <c r="H1" s="12"/>
      <c r="I1" s="12"/>
      <c r="J1" s="12"/>
      <c r="K1" s="12"/>
      <c r="L1" s="12"/>
      <c r="M1" s="19"/>
    </row>
    <row r="2" spans="1:13" ht="23.25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3" x14ac:dyDescent="0.25">
      <c r="A3" s="10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3" ht="18.75" x14ac:dyDescent="0.25">
      <c r="A4" s="10"/>
      <c r="B4" s="15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3" ht="18.75" x14ac:dyDescent="0.25">
      <c r="A5" s="10"/>
      <c r="B5" s="15"/>
      <c r="C5" s="44" t="s">
        <v>214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3" x14ac:dyDescent="0.25">
      <c r="A6" s="10"/>
      <c r="B6" s="15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3" ht="15.75" thickBot="1" x14ac:dyDescent="0.3">
      <c r="A7" s="10"/>
      <c r="B7" s="15"/>
      <c r="C7" s="11"/>
      <c r="D7" s="12"/>
      <c r="E7" s="12"/>
      <c r="F7" s="12"/>
      <c r="G7" s="12"/>
      <c r="H7" s="12"/>
      <c r="I7" s="12"/>
      <c r="J7" s="12"/>
      <c r="K7" s="12"/>
      <c r="L7" s="12"/>
      <c r="M7" s="43"/>
    </row>
    <row r="8" spans="1:13" ht="15.75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125</v>
      </c>
      <c r="M8" s="256" t="s">
        <v>215</v>
      </c>
    </row>
    <row r="9" spans="1:13" ht="75" x14ac:dyDescent="0.25">
      <c r="A9" s="262"/>
      <c r="B9" s="262"/>
      <c r="C9" s="262"/>
      <c r="D9" s="257"/>
      <c r="E9" s="162" t="s">
        <v>110</v>
      </c>
      <c r="F9" s="162" t="s">
        <v>111</v>
      </c>
      <c r="G9" s="162" t="s">
        <v>112</v>
      </c>
      <c r="H9" s="162" t="s">
        <v>113</v>
      </c>
      <c r="I9" s="162" t="s">
        <v>114</v>
      </c>
      <c r="J9" s="162" t="s">
        <v>115</v>
      </c>
      <c r="K9" s="257"/>
      <c r="L9" s="257" t="s">
        <v>0</v>
      </c>
      <c r="M9" s="257" t="s">
        <v>1</v>
      </c>
    </row>
    <row r="10" spans="1:13" ht="30.75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3" ht="16.5" thickBot="1" x14ac:dyDescent="0.3">
      <c r="A11" s="199" t="s">
        <v>2</v>
      </c>
      <c r="B11" s="200"/>
      <c r="C11" s="201" t="s">
        <v>3</v>
      </c>
      <c r="D11" s="202">
        <f>+D12+D49+D105</f>
        <v>67818492514</v>
      </c>
      <c r="K11" s="202">
        <f>+K12+K49+K105</f>
        <v>67128863456.129997</v>
      </c>
      <c r="L11" s="202">
        <f>+L12+L49+L105</f>
        <v>67128863456.129997</v>
      </c>
      <c r="M11" s="138">
        <f t="shared" ref="M11:M74" si="0">+L11/K11</f>
        <v>1</v>
      </c>
    </row>
    <row r="12" spans="1:13" ht="15.75" x14ac:dyDescent="0.25">
      <c r="A12" s="203">
        <v>1</v>
      </c>
      <c r="B12" s="204"/>
      <c r="C12" s="205" t="s">
        <v>4</v>
      </c>
      <c r="D12" s="206">
        <f>+D13</f>
        <v>47470744845</v>
      </c>
      <c r="K12" s="206">
        <f>+K13</f>
        <v>46782791891.260002</v>
      </c>
      <c r="L12" s="206">
        <f>+L13</f>
        <v>46782791891.260002</v>
      </c>
      <c r="M12" s="138">
        <f t="shared" si="0"/>
        <v>1</v>
      </c>
    </row>
    <row r="13" spans="1:13" ht="15.75" x14ac:dyDescent="0.25">
      <c r="A13" s="207">
        <v>10</v>
      </c>
      <c r="B13" s="208"/>
      <c r="C13" s="209" t="s">
        <v>4</v>
      </c>
      <c r="D13" s="210">
        <f>+D14+D35+D38</f>
        <v>47470744845</v>
      </c>
      <c r="K13" s="210">
        <f>+K14+K35+K38</f>
        <v>46782791891.260002</v>
      </c>
      <c r="L13" s="210">
        <f>+L14+L35+L38</f>
        <v>46782791891.260002</v>
      </c>
      <c r="M13" s="138">
        <f t="shared" si="0"/>
        <v>1</v>
      </c>
    </row>
    <row r="14" spans="1:13" ht="31.5" x14ac:dyDescent="0.25">
      <c r="A14" s="207">
        <v>101</v>
      </c>
      <c r="B14" s="208"/>
      <c r="C14" s="209" t="s">
        <v>5</v>
      </c>
      <c r="D14" s="210">
        <f>+D15+D19+D22+D31+D34</f>
        <v>30192291567</v>
      </c>
      <c r="K14" s="210">
        <f>+K15+K19+K22+K31</f>
        <v>30033754317</v>
      </c>
      <c r="L14" s="210">
        <f>+L15+L19+L22+L31</f>
        <v>30033754317</v>
      </c>
      <c r="M14" s="138">
        <f t="shared" si="0"/>
        <v>1</v>
      </c>
    </row>
    <row r="15" spans="1:13" ht="31.5" x14ac:dyDescent="0.25">
      <c r="A15" s="207">
        <v>1011</v>
      </c>
      <c r="B15" s="208"/>
      <c r="C15" s="209" t="s">
        <v>6</v>
      </c>
      <c r="D15" s="210">
        <f>SUM(D16:D18)</f>
        <v>21426849616</v>
      </c>
      <c r="K15" s="210">
        <f>SUM(K16:K18)</f>
        <v>21404790153</v>
      </c>
      <c r="L15" s="210">
        <f>SUM(L16:L18)</f>
        <v>21404790153</v>
      </c>
      <c r="M15" s="138">
        <f t="shared" si="0"/>
        <v>1</v>
      </c>
    </row>
    <row r="16" spans="1:13" ht="15.75" x14ac:dyDescent="0.25">
      <c r="A16" s="207">
        <v>10111</v>
      </c>
      <c r="B16" s="208">
        <v>20</v>
      </c>
      <c r="C16" s="209" t="s">
        <v>7</v>
      </c>
      <c r="D16" s="210">
        <v>20309803805</v>
      </c>
      <c r="K16" s="210">
        <v>20307760764</v>
      </c>
      <c r="L16" s="210">
        <v>20307760764</v>
      </c>
      <c r="M16" s="138">
        <f t="shared" si="0"/>
        <v>1</v>
      </c>
    </row>
    <row r="17" spans="1:13" ht="31.5" x14ac:dyDescent="0.25">
      <c r="A17" s="207">
        <v>10112</v>
      </c>
      <c r="B17" s="208">
        <v>20</v>
      </c>
      <c r="C17" s="209" t="s">
        <v>8</v>
      </c>
      <c r="D17" s="210">
        <v>1098065673</v>
      </c>
      <c r="K17" s="210">
        <v>1096705751</v>
      </c>
      <c r="L17" s="210">
        <v>1096705751</v>
      </c>
      <c r="M17" s="138">
        <f t="shared" si="0"/>
        <v>1</v>
      </c>
    </row>
    <row r="18" spans="1:13" ht="47.25" x14ac:dyDescent="0.25">
      <c r="A18" s="207">
        <v>10114</v>
      </c>
      <c r="B18" s="208">
        <v>20</v>
      </c>
      <c r="C18" s="209" t="s">
        <v>9</v>
      </c>
      <c r="D18" s="210">
        <v>18980138</v>
      </c>
      <c r="K18" s="210">
        <v>323638</v>
      </c>
      <c r="L18" s="210">
        <v>323638</v>
      </c>
      <c r="M18" s="138">
        <f t="shared" si="0"/>
        <v>1</v>
      </c>
    </row>
    <row r="19" spans="1:13" ht="15.75" x14ac:dyDescent="0.25">
      <c r="A19" s="207">
        <v>1014</v>
      </c>
      <c r="B19" s="208"/>
      <c r="C19" s="209" t="s">
        <v>10</v>
      </c>
      <c r="D19" s="210">
        <f>SUM(D20:D21)</f>
        <v>3543552973</v>
      </c>
      <c r="K19" s="210">
        <f>SUM(K20:K21)</f>
        <v>3500127903</v>
      </c>
      <c r="L19" s="210">
        <f>SUM(L20:L21)</f>
        <v>3500127903</v>
      </c>
      <c r="M19" s="138">
        <f t="shared" si="0"/>
        <v>1</v>
      </c>
    </row>
    <row r="20" spans="1:13" ht="15.75" x14ac:dyDescent="0.25">
      <c r="A20" s="207">
        <v>10141</v>
      </c>
      <c r="B20" s="208">
        <v>20</v>
      </c>
      <c r="C20" s="209" t="s">
        <v>216</v>
      </c>
      <c r="D20" s="210">
        <v>698151498</v>
      </c>
      <c r="K20" s="210">
        <v>698151498</v>
      </c>
      <c r="L20" s="210">
        <v>698151498</v>
      </c>
      <c r="M20" s="138">
        <f t="shared" si="0"/>
        <v>1</v>
      </c>
    </row>
    <row r="21" spans="1:13" ht="31.5" x14ac:dyDescent="0.25">
      <c r="A21" s="207">
        <v>10142</v>
      </c>
      <c r="B21" s="208">
        <v>20</v>
      </c>
      <c r="C21" s="209" t="s">
        <v>11</v>
      </c>
      <c r="D21" s="210">
        <v>2845401475</v>
      </c>
      <c r="K21" s="211">
        <v>2801976405</v>
      </c>
      <c r="L21" s="210">
        <v>2801976405</v>
      </c>
      <c r="M21" s="138">
        <f t="shared" si="0"/>
        <v>1</v>
      </c>
    </row>
    <row r="22" spans="1:13" ht="15.75" x14ac:dyDescent="0.25">
      <c r="A22" s="207">
        <v>1015</v>
      </c>
      <c r="B22" s="208"/>
      <c r="C22" s="209" t="s">
        <v>12</v>
      </c>
      <c r="D22" s="210">
        <f>SUM(D23:D30)</f>
        <v>4788467803</v>
      </c>
      <c r="K22" s="210">
        <f>SUM(K23:K30)</f>
        <v>4739051020</v>
      </c>
      <c r="L22" s="210">
        <f>SUM(L23:L30)</f>
        <v>4739051020</v>
      </c>
      <c r="M22" s="138">
        <f t="shared" si="0"/>
        <v>1</v>
      </c>
    </row>
    <row r="23" spans="1:13" ht="31.5" x14ac:dyDescent="0.25">
      <c r="A23" s="207">
        <v>10152</v>
      </c>
      <c r="B23" s="208">
        <v>20</v>
      </c>
      <c r="C23" s="209" t="s">
        <v>13</v>
      </c>
      <c r="D23" s="210">
        <v>667088608</v>
      </c>
      <c r="K23" s="210">
        <v>648189870</v>
      </c>
      <c r="L23" s="210">
        <v>648189870</v>
      </c>
      <c r="M23" s="138">
        <f t="shared" si="0"/>
        <v>1</v>
      </c>
    </row>
    <row r="24" spans="1:13" ht="31.5" x14ac:dyDescent="0.25">
      <c r="A24" s="207">
        <v>10155</v>
      </c>
      <c r="B24" s="208">
        <v>20</v>
      </c>
      <c r="C24" s="209" t="s">
        <v>14</v>
      </c>
      <c r="D24" s="210">
        <v>114218028</v>
      </c>
      <c r="K24" s="210">
        <v>114165603</v>
      </c>
      <c r="L24" s="210">
        <v>114165603</v>
      </c>
      <c r="M24" s="138">
        <f t="shared" si="0"/>
        <v>1</v>
      </c>
    </row>
    <row r="25" spans="1:13" ht="31.5" x14ac:dyDescent="0.25">
      <c r="A25" s="207">
        <v>101512</v>
      </c>
      <c r="B25" s="208">
        <v>20</v>
      </c>
      <c r="C25" s="209" t="s">
        <v>15</v>
      </c>
      <c r="D25" s="210">
        <v>1922293</v>
      </c>
      <c r="K25" s="210">
        <v>1731230</v>
      </c>
      <c r="L25" s="210">
        <v>1731230</v>
      </c>
      <c r="M25" s="138">
        <f t="shared" si="0"/>
        <v>1</v>
      </c>
    </row>
    <row r="26" spans="1:13" ht="15.75" x14ac:dyDescent="0.25">
      <c r="A26" s="207">
        <v>101513</v>
      </c>
      <c r="B26" s="208">
        <v>20</v>
      </c>
      <c r="C26" s="209" t="s">
        <v>130</v>
      </c>
      <c r="D26" s="210">
        <v>1865000</v>
      </c>
      <c r="K26" s="210">
        <v>274540</v>
      </c>
      <c r="L26" s="210">
        <v>274540</v>
      </c>
      <c r="M26" s="138">
        <f t="shared" si="0"/>
        <v>1</v>
      </c>
    </row>
    <row r="27" spans="1:13" ht="15.75" x14ac:dyDescent="0.25">
      <c r="A27" s="207">
        <v>101514</v>
      </c>
      <c r="B27" s="208">
        <v>20</v>
      </c>
      <c r="C27" s="209" t="s">
        <v>16</v>
      </c>
      <c r="D27" s="211">
        <v>949317537</v>
      </c>
      <c r="K27" s="211">
        <v>922302534</v>
      </c>
      <c r="L27" s="211">
        <v>922302534</v>
      </c>
      <c r="M27" s="138">
        <f t="shared" si="0"/>
        <v>1</v>
      </c>
    </row>
    <row r="28" spans="1:13" ht="15.75" x14ac:dyDescent="0.25">
      <c r="A28" s="207">
        <v>101515</v>
      </c>
      <c r="B28" s="208">
        <v>20</v>
      </c>
      <c r="C28" s="209" t="s">
        <v>17</v>
      </c>
      <c r="D28" s="210">
        <v>939302614</v>
      </c>
      <c r="K28" s="210">
        <v>939224056</v>
      </c>
      <c r="L28" s="210">
        <v>939224056</v>
      </c>
      <c r="M28" s="138">
        <f t="shared" si="0"/>
        <v>1</v>
      </c>
    </row>
    <row r="29" spans="1:13" ht="15.75" x14ac:dyDescent="0.25">
      <c r="A29" s="207">
        <v>101516</v>
      </c>
      <c r="B29" s="208">
        <v>20</v>
      </c>
      <c r="C29" s="209" t="s">
        <v>18</v>
      </c>
      <c r="D29" s="210">
        <v>2051423145</v>
      </c>
      <c r="K29" s="210">
        <v>2050547253</v>
      </c>
      <c r="L29" s="210">
        <v>2050547253</v>
      </c>
      <c r="M29" s="138">
        <f t="shared" si="0"/>
        <v>1</v>
      </c>
    </row>
    <row r="30" spans="1:13" ht="31.5" x14ac:dyDescent="0.25">
      <c r="A30" s="207">
        <v>101592</v>
      </c>
      <c r="B30" s="208">
        <v>20</v>
      </c>
      <c r="C30" s="209" t="s">
        <v>19</v>
      </c>
      <c r="D30" s="210">
        <v>63330578</v>
      </c>
      <c r="K30" s="210">
        <v>62615934</v>
      </c>
      <c r="L30" s="210">
        <v>62615934</v>
      </c>
      <c r="M30" s="138">
        <f t="shared" si="0"/>
        <v>1</v>
      </c>
    </row>
    <row r="31" spans="1:13" ht="63" x14ac:dyDescent="0.25">
      <c r="A31" s="207">
        <v>1019</v>
      </c>
      <c r="B31" s="208"/>
      <c r="C31" s="209" t="s">
        <v>20</v>
      </c>
      <c r="D31" s="210">
        <f>+D32+D33</f>
        <v>433421175</v>
      </c>
      <c r="K31" s="210">
        <f>+K32+K33</f>
        <v>389785241</v>
      </c>
      <c r="L31" s="210">
        <f>+L32+L33</f>
        <v>389785241</v>
      </c>
      <c r="M31" s="138">
        <f t="shared" si="0"/>
        <v>1</v>
      </c>
    </row>
    <row r="32" spans="1:13" ht="15.75" x14ac:dyDescent="0.25">
      <c r="A32" s="207">
        <v>10191</v>
      </c>
      <c r="B32" s="208">
        <v>20</v>
      </c>
      <c r="C32" s="209" t="s">
        <v>21</v>
      </c>
      <c r="D32" s="210">
        <v>91307283</v>
      </c>
      <c r="K32" s="210">
        <v>91306568</v>
      </c>
      <c r="L32" s="210">
        <v>91306568</v>
      </c>
      <c r="M32" s="138">
        <f t="shared" si="0"/>
        <v>1</v>
      </c>
    </row>
    <row r="33" spans="1:13" ht="31.5" x14ac:dyDescent="0.25">
      <c r="A33" s="207">
        <v>10193</v>
      </c>
      <c r="B33" s="208">
        <v>20</v>
      </c>
      <c r="C33" s="209" t="s">
        <v>22</v>
      </c>
      <c r="D33" s="210">
        <v>342113892</v>
      </c>
      <c r="K33" s="210">
        <v>298478673</v>
      </c>
      <c r="L33" s="210">
        <v>298478673</v>
      </c>
      <c r="M33" s="138">
        <f t="shared" si="0"/>
        <v>1</v>
      </c>
    </row>
    <row r="34" spans="1:13" ht="47.25" x14ac:dyDescent="0.25">
      <c r="A34" s="207">
        <v>10110</v>
      </c>
      <c r="B34" s="208">
        <v>20</v>
      </c>
      <c r="C34" s="209" t="s">
        <v>217</v>
      </c>
      <c r="D34" s="212">
        <v>0</v>
      </c>
      <c r="K34" s="210">
        <v>0</v>
      </c>
      <c r="L34" s="210">
        <v>0</v>
      </c>
      <c r="M34" s="138" t="e">
        <f t="shared" si="0"/>
        <v>#DIV/0!</v>
      </c>
    </row>
    <row r="35" spans="1:13" ht="31.5" x14ac:dyDescent="0.25">
      <c r="A35" s="207">
        <v>102</v>
      </c>
      <c r="B35" s="208"/>
      <c r="C35" s="209" t="s">
        <v>24</v>
      </c>
      <c r="D35" s="211">
        <f>SUM(D36:D37)</f>
        <v>7921945238</v>
      </c>
      <c r="K35" s="211">
        <f>SUM(K36:K37)</f>
        <v>7474418673.2600002</v>
      </c>
      <c r="L35" s="211">
        <f>SUM(L36:L37)</f>
        <v>7474418673.2600002</v>
      </c>
      <c r="M35" s="138">
        <f t="shared" si="0"/>
        <v>1</v>
      </c>
    </row>
    <row r="36" spans="1:13" ht="15.75" x14ac:dyDescent="0.25">
      <c r="A36" s="207">
        <v>10212</v>
      </c>
      <c r="B36" s="208">
        <v>20</v>
      </c>
      <c r="C36" s="209" t="s">
        <v>25</v>
      </c>
      <c r="D36" s="210">
        <v>1195184211</v>
      </c>
      <c r="K36" s="210">
        <v>899329266</v>
      </c>
      <c r="L36" s="210">
        <v>899329266</v>
      </c>
      <c r="M36" s="138">
        <f t="shared" si="0"/>
        <v>1</v>
      </c>
    </row>
    <row r="37" spans="1:13" ht="31.5" x14ac:dyDescent="0.25">
      <c r="A37" s="207">
        <v>10214</v>
      </c>
      <c r="B37" s="208">
        <v>20</v>
      </c>
      <c r="C37" s="209" t="s">
        <v>26</v>
      </c>
      <c r="D37" s="210">
        <v>6726761027</v>
      </c>
      <c r="K37" s="210">
        <v>6575089407.2600002</v>
      </c>
      <c r="L37" s="210">
        <v>6575089407.2600002</v>
      </c>
      <c r="M37" s="138">
        <f t="shared" si="0"/>
        <v>1</v>
      </c>
    </row>
    <row r="38" spans="1:13" ht="63" x14ac:dyDescent="0.25">
      <c r="A38" s="207">
        <v>105</v>
      </c>
      <c r="B38" s="208"/>
      <c r="C38" s="209" t="s">
        <v>27</v>
      </c>
      <c r="D38" s="210">
        <f>+D39+D43+D47+D48</f>
        <v>9356508040</v>
      </c>
      <c r="K38" s="210">
        <f>+K39+K43+K47+K48</f>
        <v>9274618901</v>
      </c>
      <c r="L38" s="210">
        <f>+L39+L43+L47+L48</f>
        <v>9274618901</v>
      </c>
      <c r="M38" s="138">
        <f t="shared" si="0"/>
        <v>1</v>
      </c>
    </row>
    <row r="39" spans="1:13" ht="31.5" x14ac:dyDescent="0.25">
      <c r="A39" s="207">
        <v>1051</v>
      </c>
      <c r="B39" s="208"/>
      <c r="C39" s="209" t="s">
        <v>28</v>
      </c>
      <c r="D39" s="210">
        <f>SUM(D40:D42)</f>
        <v>4616137511</v>
      </c>
      <c r="K39" s="210">
        <f>SUM(K40:K42)</f>
        <v>4553709263</v>
      </c>
      <c r="L39" s="210">
        <f>SUM(L40:L42)</f>
        <v>4553709263</v>
      </c>
      <c r="M39" s="138">
        <f t="shared" si="0"/>
        <v>1</v>
      </c>
    </row>
    <row r="40" spans="1:13" ht="47.25" x14ac:dyDescent="0.25">
      <c r="A40" s="207">
        <v>10511</v>
      </c>
      <c r="B40" s="208">
        <v>20</v>
      </c>
      <c r="C40" s="209" t="s">
        <v>29</v>
      </c>
      <c r="D40" s="210">
        <v>991221472</v>
      </c>
      <c r="K40" s="210">
        <v>966454920</v>
      </c>
      <c r="L40" s="210">
        <v>966454920</v>
      </c>
      <c r="M40" s="138">
        <f t="shared" si="0"/>
        <v>1</v>
      </c>
    </row>
    <row r="41" spans="1:13" ht="47.25" x14ac:dyDescent="0.25">
      <c r="A41" s="207">
        <v>10513</v>
      </c>
      <c r="B41" s="208">
        <v>20</v>
      </c>
      <c r="C41" s="209" t="s">
        <v>30</v>
      </c>
      <c r="D41" s="210">
        <v>1656644432</v>
      </c>
      <c r="K41" s="210">
        <v>1644649762</v>
      </c>
      <c r="L41" s="210">
        <v>1644649762</v>
      </c>
      <c r="M41" s="138">
        <f t="shared" si="0"/>
        <v>1</v>
      </c>
    </row>
    <row r="42" spans="1:13" ht="31.5" x14ac:dyDescent="0.25">
      <c r="A42" s="207">
        <v>10514</v>
      </c>
      <c r="B42" s="208">
        <v>20</v>
      </c>
      <c r="C42" s="209" t="s">
        <v>31</v>
      </c>
      <c r="D42" s="210">
        <v>1968271607</v>
      </c>
      <c r="K42" s="210">
        <v>1942604581</v>
      </c>
      <c r="L42" s="210">
        <v>1942604581</v>
      </c>
      <c r="M42" s="138">
        <f t="shared" si="0"/>
        <v>1</v>
      </c>
    </row>
    <row r="43" spans="1:13" ht="31.5" x14ac:dyDescent="0.25">
      <c r="A43" s="207">
        <v>1052</v>
      </c>
      <c r="B43" s="208"/>
      <c r="C43" s="209" t="s">
        <v>32</v>
      </c>
      <c r="D43" s="210">
        <f>+D44+D45+D46</f>
        <v>3513423674</v>
      </c>
      <c r="K43" s="210">
        <f>+K44+K45+K46</f>
        <v>3512839719</v>
      </c>
      <c r="L43" s="210">
        <f>+L44+L45+L46</f>
        <v>3512839719</v>
      </c>
      <c r="M43" s="138">
        <f t="shared" si="0"/>
        <v>1</v>
      </c>
    </row>
    <row r="44" spans="1:13" ht="31.5" x14ac:dyDescent="0.25">
      <c r="A44" s="207">
        <v>10522</v>
      </c>
      <c r="B44" s="208">
        <v>20</v>
      </c>
      <c r="C44" s="209" t="s">
        <v>33</v>
      </c>
      <c r="D44" s="210">
        <v>2315108242</v>
      </c>
      <c r="K44" s="210">
        <v>2315018542</v>
      </c>
      <c r="L44" s="210">
        <v>2315018542</v>
      </c>
      <c r="M44" s="138">
        <f t="shared" si="0"/>
        <v>1</v>
      </c>
    </row>
    <row r="45" spans="1:13" ht="47.25" x14ac:dyDescent="0.25">
      <c r="A45" s="207">
        <v>10523</v>
      </c>
      <c r="B45" s="208">
        <v>20</v>
      </c>
      <c r="C45" s="209" t="s">
        <v>34</v>
      </c>
      <c r="D45" s="210">
        <v>1081922507</v>
      </c>
      <c r="K45" s="210">
        <v>1081549179</v>
      </c>
      <c r="L45" s="210">
        <v>1081549179</v>
      </c>
      <c r="M45" s="138">
        <f t="shared" si="0"/>
        <v>1</v>
      </c>
    </row>
    <row r="46" spans="1:13" ht="111" customHeight="1" x14ac:dyDescent="0.25">
      <c r="A46" s="207">
        <v>10527</v>
      </c>
      <c r="B46" s="208">
        <v>20</v>
      </c>
      <c r="C46" s="209" t="s">
        <v>35</v>
      </c>
      <c r="D46" s="210">
        <v>116392925</v>
      </c>
      <c r="K46" s="210">
        <v>116271998</v>
      </c>
      <c r="L46" s="210">
        <v>116271998</v>
      </c>
      <c r="M46" s="138">
        <f t="shared" si="0"/>
        <v>1</v>
      </c>
    </row>
    <row r="47" spans="1:13" ht="15.75" x14ac:dyDescent="0.25">
      <c r="A47" s="207">
        <v>1056</v>
      </c>
      <c r="B47" s="208">
        <v>20</v>
      </c>
      <c r="C47" s="209" t="s">
        <v>36</v>
      </c>
      <c r="D47" s="210">
        <v>726971900</v>
      </c>
      <c r="K47" s="210">
        <v>724831139</v>
      </c>
      <c r="L47" s="210">
        <v>724831139</v>
      </c>
      <c r="M47" s="138">
        <f t="shared" si="0"/>
        <v>1</v>
      </c>
    </row>
    <row r="48" spans="1:13" ht="16.5" thickBot="1" x14ac:dyDescent="0.3">
      <c r="A48" s="213">
        <v>1057</v>
      </c>
      <c r="B48" s="214">
        <v>20</v>
      </c>
      <c r="C48" s="215" t="s">
        <v>37</v>
      </c>
      <c r="D48" s="216">
        <v>499974955</v>
      </c>
      <c r="K48" s="216">
        <v>483238780</v>
      </c>
      <c r="L48" s="216">
        <v>483238780</v>
      </c>
      <c r="M48" s="138">
        <f t="shared" si="0"/>
        <v>1</v>
      </c>
    </row>
    <row r="49" spans="1:13" ht="15.75" x14ac:dyDescent="0.25">
      <c r="A49" s="217">
        <v>2</v>
      </c>
      <c r="B49" s="218"/>
      <c r="C49" s="205" t="s">
        <v>38</v>
      </c>
      <c r="D49" s="206">
        <f>+D50</f>
        <v>8890967077</v>
      </c>
      <c r="K49" s="206">
        <f>+K50</f>
        <v>8890582133.4099998</v>
      </c>
      <c r="L49" s="206">
        <f>+L50</f>
        <v>8890582133.4099998</v>
      </c>
      <c r="M49" s="138">
        <f t="shared" si="0"/>
        <v>1</v>
      </c>
    </row>
    <row r="50" spans="1:13" ht="15.75" x14ac:dyDescent="0.25">
      <c r="A50" s="219">
        <v>20</v>
      </c>
      <c r="B50" s="220"/>
      <c r="C50" s="209" t="s">
        <v>38</v>
      </c>
      <c r="D50" s="210">
        <f>+D55+D51</f>
        <v>8890967077</v>
      </c>
      <c r="K50" s="210">
        <f>+K55+K51</f>
        <v>8890582133.4099998</v>
      </c>
      <c r="L50" s="210">
        <f>+L55+L51</f>
        <v>8890582133.4099998</v>
      </c>
      <c r="M50" s="138">
        <f t="shared" si="0"/>
        <v>1</v>
      </c>
    </row>
    <row r="51" spans="1:13" ht="15.75" x14ac:dyDescent="0.25">
      <c r="A51" s="219">
        <v>203</v>
      </c>
      <c r="B51" s="220"/>
      <c r="C51" s="209" t="s">
        <v>39</v>
      </c>
      <c r="D51" s="210">
        <f>+D52</f>
        <v>0</v>
      </c>
      <c r="K51" s="210">
        <f>+K52</f>
        <v>0</v>
      </c>
      <c r="L51" s="210">
        <f>+L52</f>
        <v>0</v>
      </c>
      <c r="M51" s="138" t="e">
        <f t="shared" si="0"/>
        <v>#DIV/0!</v>
      </c>
    </row>
    <row r="52" spans="1:13" ht="31.5" x14ac:dyDescent="0.25">
      <c r="A52" s="219">
        <v>20350</v>
      </c>
      <c r="B52" s="220"/>
      <c r="C52" s="209" t="s">
        <v>40</v>
      </c>
      <c r="D52" s="210">
        <f>+D53+D54</f>
        <v>0</v>
      </c>
      <c r="K52" s="210">
        <f>+K53+K54</f>
        <v>0</v>
      </c>
      <c r="L52" s="210">
        <f>+L53+L54</f>
        <v>0</v>
      </c>
      <c r="M52" s="138" t="e">
        <f t="shared" si="0"/>
        <v>#DIV/0!</v>
      </c>
    </row>
    <row r="53" spans="1:13" ht="15.75" x14ac:dyDescent="0.25">
      <c r="A53" s="219">
        <v>203502</v>
      </c>
      <c r="B53" s="220">
        <v>20</v>
      </c>
      <c r="C53" s="209" t="s">
        <v>41</v>
      </c>
      <c r="D53" s="210">
        <v>0</v>
      </c>
      <c r="K53" s="210">
        <v>0</v>
      </c>
      <c r="L53" s="210">
        <v>0</v>
      </c>
      <c r="M53" s="138" t="e">
        <f t="shared" si="0"/>
        <v>#DIV/0!</v>
      </c>
    </row>
    <row r="54" spans="1:13" ht="15.75" x14ac:dyDescent="0.25">
      <c r="A54" s="219">
        <v>203503</v>
      </c>
      <c r="B54" s="220">
        <v>20</v>
      </c>
      <c r="C54" s="209" t="s">
        <v>42</v>
      </c>
      <c r="D54" s="210">
        <v>0</v>
      </c>
      <c r="K54" s="210">
        <v>0</v>
      </c>
      <c r="L54" s="210">
        <v>0</v>
      </c>
      <c r="M54" s="138" t="e">
        <f t="shared" si="0"/>
        <v>#DIV/0!</v>
      </c>
    </row>
    <row r="55" spans="1:13" ht="31.5" x14ac:dyDescent="0.25">
      <c r="A55" s="219">
        <v>204</v>
      </c>
      <c r="B55" s="220"/>
      <c r="C55" s="209" t="s">
        <v>43</v>
      </c>
      <c r="D55" s="210">
        <f>+D56+D59+D70+D79+D83+D86+D91+D95+D100+D101+D103+D97</f>
        <v>8890967077</v>
      </c>
      <c r="K55" s="210">
        <f>+K56+K59+K70+K79+K83+K86+K91+K95+K100+K101+K103+K97</f>
        <v>8890582133.4099998</v>
      </c>
      <c r="L55" s="210">
        <f>+L56+L59+L70+L79+L83+L86+L91+L95+L100+L101+L103+L97</f>
        <v>8890582133.4099998</v>
      </c>
      <c r="M55" s="138">
        <f t="shared" si="0"/>
        <v>1</v>
      </c>
    </row>
    <row r="56" spans="1:13" ht="15.75" x14ac:dyDescent="0.25">
      <c r="A56" s="219">
        <v>2041</v>
      </c>
      <c r="B56" s="220"/>
      <c r="C56" s="209" t="s">
        <v>131</v>
      </c>
      <c r="D56" s="210">
        <f>SUM(D57:D58)</f>
        <v>13590163</v>
      </c>
      <c r="K56" s="210">
        <f>SUM(K57:K58)</f>
        <v>13587334</v>
      </c>
      <c r="L56" s="210">
        <f>SUM(L57:L58)</f>
        <v>13587334</v>
      </c>
      <c r="M56" s="138">
        <f t="shared" si="0"/>
        <v>1</v>
      </c>
    </row>
    <row r="57" spans="1:13" ht="15.75" x14ac:dyDescent="0.25">
      <c r="A57" s="219">
        <v>20418</v>
      </c>
      <c r="B57" s="220">
        <v>20</v>
      </c>
      <c r="C57" s="209" t="s">
        <v>134</v>
      </c>
      <c r="D57" s="210">
        <v>5206130</v>
      </c>
      <c r="K57" s="210">
        <v>5206130</v>
      </c>
      <c r="L57" s="210">
        <v>5206130</v>
      </c>
      <c r="M57" s="138">
        <f t="shared" si="0"/>
        <v>1</v>
      </c>
    </row>
    <row r="58" spans="1:13" ht="31.5" x14ac:dyDescent="0.25">
      <c r="A58" s="219">
        <v>204125</v>
      </c>
      <c r="B58" s="220">
        <v>20</v>
      </c>
      <c r="C58" s="209" t="s">
        <v>219</v>
      </c>
      <c r="D58" s="210">
        <v>8384033</v>
      </c>
      <c r="K58" s="210">
        <v>8381204</v>
      </c>
      <c r="L58" s="210">
        <v>8381204</v>
      </c>
      <c r="M58" s="138">
        <f t="shared" si="0"/>
        <v>1</v>
      </c>
    </row>
    <row r="59" spans="1:13" ht="31.5" x14ac:dyDescent="0.25">
      <c r="A59" s="219">
        <v>2044</v>
      </c>
      <c r="B59" s="220"/>
      <c r="C59" s="209" t="s">
        <v>44</v>
      </c>
      <c r="D59" s="210">
        <f>SUM(D60:D69)</f>
        <v>88701539</v>
      </c>
      <c r="K59" s="210">
        <f>SUM(K60:K69)</f>
        <v>88701539</v>
      </c>
      <c r="L59" s="210">
        <f>SUM(L60:L69)</f>
        <v>88701539</v>
      </c>
      <c r="M59" s="138">
        <f t="shared" si="0"/>
        <v>1</v>
      </c>
    </row>
    <row r="60" spans="1:13" ht="31.5" x14ac:dyDescent="0.25">
      <c r="A60" s="219">
        <v>20441</v>
      </c>
      <c r="B60" s="220">
        <v>20</v>
      </c>
      <c r="C60" s="209" t="s">
        <v>45</v>
      </c>
      <c r="D60" s="210">
        <v>79849673</v>
      </c>
      <c r="K60" s="210">
        <v>79849673</v>
      </c>
      <c r="L60" s="210">
        <v>79849673</v>
      </c>
      <c r="M60" s="138">
        <f t="shared" si="0"/>
        <v>1</v>
      </c>
    </row>
    <row r="61" spans="1:13" ht="15.75" x14ac:dyDescent="0.25">
      <c r="A61" s="219">
        <v>20442</v>
      </c>
      <c r="B61" s="220">
        <v>20</v>
      </c>
      <c r="C61" s="209" t="s">
        <v>46</v>
      </c>
      <c r="D61" s="210">
        <v>286962</v>
      </c>
      <c r="K61" s="210">
        <v>286962</v>
      </c>
      <c r="L61" s="210">
        <v>286962</v>
      </c>
      <c r="M61" s="138">
        <f t="shared" si="0"/>
        <v>1</v>
      </c>
    </row>
    <row r="62" spans="1:13" ht="31.5" x14ac:dyDescent="0.25">
      <c r="A62" s="219">
        <v>20449</v>
      </c>
      <c r="B62" s="220">
        <v>20</v>
      </c>
      <c r="C62" s="209" t="s">
        <v>47</v>
      </c>
      <c r="D62" s="210">
        <v>0</v>
      </c>
      <c r="K62" s="210">
        <v>0</v>
      </c>
      <c r="L62" s="210">
        <v>0</v>
      </c>
      <c r="M62" s="138" t="e">
        <f t="shared" si="0"/>
        <v>#DIV/0!</v>
      </c>
    </row>
    <row r="63" spans="1:13" ht="47.25" x14ac:dyDescent="0.25">
      <c r="A63" s="219">
        <v>204413</v>
      </c>
      <c r="B63" s="220">
        <v>20</v>
      </c>
      <c r="C63" s="209" t="s">
        <v>48</v>
      </c>
      <c r="D63" s="210">
        <v>260990</v>
      </c>
      <c r="K63" s="210">
        <v>260990</v>
      </c>
      <c r="L63" s="210">
        <v>260990</v>
      </c>
      <c r="M63" s="138">
        <f t="shared" si="0"/>
        <v>1</v>
      </c>
    </row>
    <row r="64" spans="1:13" ht="31.5" x14ac:dyDescent="0.25">
      <c r="A64" s="219">
        <v>204415</v>
      </c>
      <c r="B64" s="220">
        <v>20</v>
      </c>
      <c r="C64" s="209" t="s">
        <v>49</v>
      </c>
      <c r="D64" s="210">
        <v>3662262</v>
      </c>
      <c r="K64" s="210">
        <v>3662262</v>
      </c>
      <c r="L64" s="210">
        <v>3662262</v>
      </c>
      <c r="M64" s="138">
        <f t="shared" si="0"/>
        <v>1</v>
      </c>
    </row>
    <row r="65" spans="1:13" ht="31.5" x14ac:dyDescent="0.25">
      <c r="A65" s="219">
        <v>204417</v>
      </c>
      <c r="B65" s="220">
        <v>20</v>
      </c>
      <c r="C65" s="209" t="s">
        <v>50</v>
      </c>
      <c r="D65" s="210">
        <v>155181</v>
      </c>
      <c r="K65" s="210">
        <v>155181</v>
      </c>
      <c r="L65" s="210">
        <v>155181</v>
      </c>
      <c r="M65" s="138">
        <f t="shared" si="0"/>
        <v>1</v>
      </c>
    </row>
    <row r="66" spans="1:13" ht="47.25" x14ac:dyDescent="0.25">
      <c r="A66" s="219">
        <v>204418</v>
      </c>
      <c r="B66" s="220">
        <v>20</v>
      </c>
      <c r="C66" s="209" t="s">
        <v>51</v>
      </c>
      <c r="D66" s="210">
        <v>3936680</v>
      </c>
      <c r="K66" s="210">
        <v>3936680</v>
      </c>
      <c r="L66" s="210">
        <v>3936680</v>
      </c>
      <c r="M66" s="138">
        <f t="shared" si="0"/>
        <v>1</v>
      </c>
    </row>
    <row r="67" spans="1:13" ht="15.75" x14ac:dyDescent="0.25">
      <c r="A67" s="219">
        <v>204420</v>
      </c>
      <c r="B67" s="220">
        <v>20</v>
      </c>
      <c r="C67" s="209" t="s">
        <v>52</v>
      </c>
      <c r="D67" s="210">
        <v>435536</v>
      </c>
      <c r="K67" s="210">
        <v>435536</v>
      </c>
      <c r="L67" s="210">
        <v>435536</v>
      </c>
      <c r="M67" s="138">
        <f t="shared" si="0"/>
        <v>1</v>
      </c>
    </row>
    <row r="68" spans="1:13" ht="31.5" x14ac:dyDescent="0.25">
      <c r="A68" s="219">
        <v>204421</v>
      </c>
      <c r="B68" s="220">
        <v>20</v>
      </c>
      <c r="C68" s="209" t="s">
        <v>53</v>
      </c>
      <c r="D68" s="210">
        <v>0</v>
      </c>
      <c r="K68" s="210">
        <v>0</v>
      </c>
      <c r="L68" s="210">
        <v>0</v>
      </c>
      <c r="M68" s="138" t="e">
        <f t="shared" si="0"/>
        <v>#DIV/0!</v>
      </c>
    </row>
    <row r="69" spans="1:13" ht="31.5" x14ac:dyDescent="0.25">
      <c r="A69" s="219">
        <v>204423</v>
      </c>
      <c r="B69" s="220">
        <v>20</v>
      </c>
      <c r="C69" s="209" t="s">
        <v>54</v>
      </c>
      <c r="D69" s="210">
        <v>114255</v>
      </c>
      <c r="K69" s="210">
        <v>114255</v>
      </c>
      <c r="L69" s="210">
        <v>114255</v>
      </c>
      <c r="M69" s="138">
        <f t="shared" si="0"/>
        <v>1</v>
      </c>
    </row>
    <row r="70" spans="1:13" ht="15.75" x14ac:dyDescent="0.25">
      <c r="A70" s="219">
        <v>2045</v>
      </c>
      <c r="B70" s="220"/>
      <c r="C70" s="209" t="s">
        <v>55</v>
      </c>
      <c r="D70" s="210">
        <f>SUM(D71:D78)</f>
        <v>794552414</v>
      </c>
      <c r="K70" s="210">
        <f>SUM(K71:K78)</f>
        <v>794552414</v>
      </c>
      <c r="L70" s="210">
        <f>SUM(L71:L78)</f>
        <v>794552414</v>
      </c>
      <c r="M70" s="138">
        <f t="shared" si="0"/>
        <v>1</v>
      </c>
    </row>
    <row r="71" spans="1:13" ht="31.5" x14ac:dyDescent="0.25">
      <c r="A71" s="219">
        <v>20451</v>
      </c>
      <c r="B71" s="220">
        <v>20</v>
      </c>
      <c r="C71" s="209" t="s">
        <v>56</v>
      </c>
      <c r="D71" s="210">
        <v>69010299</v>
      </c>
      <c r="K71" s="210">
        <v>69010299</v>
      </c>
      <c r="L71" s="210">
        <v>69010299</v>
      </c>
      <c r="M71" s="138">
        <f t="shared" si="0"/>
        <v>1</v>
      </c>
    </row>
    <row r="72" spans="1:13" ht="47.25" x14ac:dyDescent="0.25">
      <c r="A72" s="219">
        <v>20452</v>
      </c>
      <c r="B72" s="220">
        <v>20</v>
      </c>
      <c r="C72" s="209" t="s">
        <v>57</v>
      </c>
      <c r="D72" s="210">
        <v>111484903</v>
      </c>
      <c r="K72" s="210">
        <v>111484903</v>
      </c>
      <c r="L72" s="210">
        <v>111484903</v>
      </c>
      <c r="M72" s="138">
        <f t="shared" si="0"/>
        <v>1</v>
      </c>
    </row>
    <row r="73" spans="1:13" ht="63" x14ac:dyDescent="0.25">
      <c r="A73" s="219">
        <v>20455</v>
      </c>
      <c r="B73" s="220">
        <v>20</v>
      </c>
      <c r="C73" s="209" t="s">
        <v>58</v>
      </c>
      <c r="D73" s="210">
        <v>351400</v>
      </c>
      <c r="K73" s="210">
        <v>351400</v>
      </c>
      <c r="L73" s="210">
        <v>351400</v>
      </c>
      <c r="M73" s="138">
        <f t="shared" si="0"/>
        <v>1</v>
      </c>
    </row>
    <row r="74" spans="1:13" ht="47.25" x14ac:dyDescent="0.25">
      <c r="A74" s="219">
        <v>20456</v>
      </c>
      <c r="B74" s="220">
        <v>20</v>
      </c>
      <c r="C74" s="209" t="s">
        <v>59</v>
      </c>
      <c r="D74" s="210">
        <v>65058790</v>
      </c>
      <c r="K74" s="210">
        <v>65058790</v>
      </c>
      <c r="L74" s="210">
        <v>65058790</v>
      </c>
      <c r="M74" s="138">
        <f t="shared" si="0"/>
        <v>1</v>
      </c>
    </row>
    <row r="75" spans="1:13" ht="15.75" x14ac:dyDescent="0.25">
      <c r="A75" s="219">
        <v>20458</v>
      </c>
      <c r="B75" s="220">
        <v>20</v>
      </c>
      <c r="C75" s="209" t="s">
        <v>157</v>
      </c>
      <c r="D75" s="210">
        <v>153324670</v>
      </c>
      <c r="K75" s="210">
        <v>153324670</v>
      </c>
      <c r="L75" s="210">
        <v>153324670</v>
      </c>
      <c r="M75" s="138">
        <f t="shared" ref="M75:M138" si="1">+L75/K75</f>
        <v>1</v>
      </c>
    </row>
    <row r="76" spans="1:13" ht="31.5" x14ac:dyDescent="0.25">
      <c r="A76" s="219">
        <v>204510</v>
      </c>
      <c r="B76" s="220">
        <v>20</v>
      </c>
      <c r="C76" s="209" t="s">
        <v>158</v>
      </c>
      <c r="D76" s="210">
        <v>371238886</v>
      </c>
      <c r="K76" s="210">
        <v>371238886</v>
      </c>
      <c r="L76" s="210">
        <v>371238886</v>
      </c>
      <c r="M76" s="138">
        <f t="shared" si="1"/>
        <v>1</v>
      </c>
    </row>
    <row r="77" spans="1:13" ht="31.5" x14ac:dyDescent="0.25">
      <c r="A77" s="219">
        <v>204512</v>
      </c>
      <c r="B77" s="220">
        <v>20</v>
      </c>
      <c r="C77" s="209" t="s">
        <v>60</v>
      </c>
      <c r="D77" s="210">
        <v>80728</v>
      </c>
      <c r="K77" s="210">
        <v>80728</v>
      </c>
      <c r="L77" s="210">
        <v>80728</v>
      </c>
      <c r="M77" s="138">
        <f t="shared" si="1"/>
        <v>1</v>
      </c>
    </row>
    <row r="78" spans="1:13" ht="32.25" thickBot="1" x14ac:dyDescent="0.3">
      <c r="A78" s="221">
        <v>204513</v>
      </c>
      <c r="B78" s="222">
        <v>20</v>
      </c>
      <c r="C78" s="215" t="s">
        <v>61</v>
      </c>
      <c r="D78" s="216">
        <v>24002738</v>
      </c>
      <c r="K78" s="216">
        <v>24002738</v>
      </c>
      <c r="L78" s="216">
        <v>24002738</v>
      </c>
      <c r="M78" s="138">
        <f t="shared" si="1"/>
        <v>1</v>
      </c>
    </row>
    <row r="79" spans="1:13" ht="31.5" x14ac:dyDescent="0.25">
      <c r="A79" s="219">
        <v>2046</v>
      </c>
      <c r="B79" s="220"/>
      <c r="C79" s="209" t="s">
        <v>62</v>
      </c>
      <c r="D79" s="210">
        <f>SUM(D80:D82)</f>
        <v>133072043</v>
      </c>
      <c r="K79" s="210">
        <f>SUM(K80:K82)</f>
        <v>133072043</v>
      </c>
      <c r="L79" s="210">
        <f>SUM(L80:L82)</f>
        <v>133072043</v>
      </c>
      <c r="M79" s="138">
        <f t="shared" si="1"/>
        <v>1</v>
      </c>
    </row>
    <row r="80" spans="1:13" ht="15.75" x14ac:dyDescent="0.25">
      <c r="A80" s="219">
        <v>20462</v>
      </c>
      <c r="B80" s="220">
        <v>20</v>
      </c>
      <c r="C80" s="209" t="s">
        <v>63</v>
      </c>
      <c r="D80" s="210">
        <v>65580483</v>
      </c>
      <c r="K80" s="210">
        <v>65580483</v>
      </c>
      <c r="L80" s="210">
        <v>65580483</v>
      </c>
      <c r="M80" s="138">
        <f t="shared" si="1"/>
        <v>1</v>
      </c>
    </row>
    <row r="81" spans="1:13" ht="47.25" x14ac:dyDescent="0.25">
      <c r="A81" s="219">
        <v>20465</v>
      </c>
      <c r="B81" s="220">
        <v>20</v>
      </c>
      <c r="C81" s="209" t="s">
        <v>64</v>
      </c>
      <c r="D81" s="210">
        <v>67141654</v>
      </c>
      <c r="K81" s="210">
        <v>67141654</v>
      </c>
      <c r="L81" s="210">
        <v>67141654</v>
      </c>
      <c r="M81" s="138">
        <f t="shared" si="1"/>
        <v>1</v>
      </c>
    </row>
    <row r="82" spans="1:13" ht="15.75" x14ac:dyDescent="0.25">
      <c r="A82" s="219">
        <v>20467</v>
      </c>
      <c r="B82" s="220">
        <v>20</v>
      </c>
      <c r="C82" s="209" t="s">
        <v>65</v>
      </c>
      <c r="D82" s="210">
        <v>349906</v>
      </c>
      <c r="K82" s="210">
        <v>349906</v>
      </c>
      <c r="L82" s="210">
        <v>349906</v>
      </c>
      <c r="M82" s="138">
        <f t="shared" si="1"/>
        <v>1</v>
      </c>
    </row>
    <row r="83" spans="1:13" ht="31.5" x14ac:dyDescent="0.25">
      <c r="A83" s="219">
        <v>2047</v>
      </c>
      <c r="B83" s="220"/>
      <c r="C83" s="209" t="s">
        <v>67</v>
      </c>
      <c r="D83" s="210">
        <f>+D84+D85</f>
        <v>291856269</v>
      </c>
      <c r="K83" s="210">
        <f>+K84+K85</f>
        <v>291658267</v>
      </c>
      <c r="L83" s="210">
        <f>+L84+L85</f>
        <v>291658267</v>
      </c>
      <c r="M83" s="138">
        <f t="shared" si="1"/>
        <v>1</v>
      </c>
    </row>
    <row r="84" spans="1:13" ht="15.75" x14ac:dyDescent="0.25">
      <c r="A84" s="219">
        <v>20475</v>
      </c>
      <c r="B84" s="220">
        <v>20</v>
      </c>
      <c r="C84" s="209" t="s">
        <v>68</v>
      </c>
      <c r="D84" s="210">
        <v>0</v>
      </c>
      <c r="K84" s="210">
        <v>0</v>
      </c>
      <c r="L84" s="210">
        <v>0</v>
      </c>
      <c r="M84" s="138" t="e">
        <f t="shared" si="1"/>
        <v>#DIV/0!</v>
      </c>
    </row>
    <row r="85" spans="1:13" ht="47.25" x14ac:dyDescent="0.25">
      <c r="A85" s="219">
        <v>20476</v>
      </c>
      <c r="B85" s="220">
        <v>20</v>
      </c>
      <c r="C85" s="209" t="s">
        <v>69</v>
      </c>
      <c r="D85" s="210">
        <v>291856269</v>
      </c>
      <c r="K85" s="210">
        <v>291658267</v>
      </c>
      <c r="L85" s="210">
        <v>291658267</v>
      </c>
      <c r="M85" s="138">
        <f t="shared" si="1"/>
        <v>1</v>
      </c>
    </row>
    <row r="86" spans="1:13" ht="15.75" x14ac:dyDescent="0.25">
      <c r="A86" s="219">
        <v>2048</v>
      </c>
      <c r="B86" s="220"/>
      <c r="C86" s="209" t="s">
        <v>70</v>
      </c>
      <c r="D86" s="210">
        <f>SUM(D87:D90)</f>
        <v>350736943</v>
      </c>
      <c r="K86" s="210">
        <f>SUM(K87:K90)</f>
        <v>350736235</v>
      </c>
      <c r="L86" s="210">
        <f>SUM(L87:L90)</f>
        <v>350736235</v>
      </c>
      <c r="M86" s="138">
        <f t="shared" si="1"/>
        <v>1</v>
      </c>
    </row>
    <row r="87" spans="1:13" ht="31.5" x14ac:dyDescent="0.25">
      <c r="A87" s="219">
        <v>20481</v>
      </c>
      <c r="B87" s="220">
        <v>20</v>
      </c>
      <c r="C87" s="209" t="s">
        <v>71</v>
      </c>
      <c r="D87" s="210">
        <v>5001069</v>
      </c>
      <c r="K87" s="210">
        <v>5001069</v>
      </c>
      <c r="L87" s="210">
        <v>5001069</v>
      </c>
      <c r="M87" s="138">
        <f t="shared" si="1"/>
        <v>1</v>
      </c>
    </row>
    <row r="88" spans="1:13" ht="15.75" x14ac:dyDescent="0.25">
      <c r="A88" s="219">
        <v>20482</v>
      </c>
      <c r="B88" s="220">
        <v>20</v>
      </c>
      <c r="C88" s="209" t="s">
        <v>72</v>
      </c>
      <c r="D88" s="210">
        <v>283522493</v>
      </c>
      <c r="K88" s="210">
        <v>283522493</v>
      </c>
      <c r="L88" s="210">
        <v>283522493</v>
      </c>
      <c r="M88" s="138">
        <f t="shared" si="1"/>
        <v>1</v>
      </c>
    </row>
    <row r="89" spans="1:13" ht="31.5" x14ac:dyDescent="0.25">
      <c r="A89" s="219">
        <v>20485</v>
      </c>
      <c r="B89" s="220">
        <v>20</v>
      </c>
      <c r="C89" s="209" t="s">
        <v>73</v>
      </c>
      <c r="D89" s="210">
        <v>15262785</v>
      </c>
      <c r="K89" s="210">
        <v>15262077</v>
      </c>
      <c r="L89" s="210">
        <v>15262077</v>
      </c>
      <c r="M89" s="138">
        <f t="shared" si="1"/>
        <v>1</v>
      </c>
    </row>
    <row r="90" spans="1:13" ht="15.75" x14ac:dyDescent="0.25">
      <c r="A90" s="219">
        <v>20486</v>
      </c>
      <c r="B90" s="220">
        <v>20</v>
      </c>
      <c r="C90" s="209" t="s">
        <v>74</v>
      </c>
      <c r="D90" s="210">
        <v>46950596</v>
      </c>
      <c r="K90" s="210">
        <v>46950596</v>
      </c>
      <c r="L90" s="210">
        <v>46950596</v>
      </c>
      <c r="M90" s="138">
        <f t="shared" si="1"/>
        <v>1</v>
      </c>
    </row>
    <row r="91" spans="1:13" ht="15.75" x14ac:dyDescent="0.25">
      <c r="A91" s="219">
        <v>2049</v>
      </c>
      <c r="B91" s="220"/>
      <c r="C91" s="209" t="s">
        <v>75</v>
      </c>
      <c r="D91" s="210">
        <f>SUM(D92:D94)</f>
        <v>960765043</v>
      </c>
      <c r="K91" s="210">
        <f>SUM(K92:K94)</f>
        <v>960765043</v>
      </c>
      <c r="L91" s="210">
        <f>SUM(L92:L94)</f>
        <v>960765043</v>
      </c>
      <c r="M91" s="138">
        <f t="shared" si="1"/>
        <v>1</v>
      </c>
    </row>
    <row r="92" spans="1:13" ht="31.5" x14ac:dyDescent="0.25">
      <c r="A92" s="219">
        <v>20495</v>
      </c>
      <c r="B92" s="220">
        <v>20</v>
      </c>
      <c r="C92" s="209" t="s">
        <v>76</v>
      </c>
      <c r="D92" s="210">
        <v>137234082</v>
      </c>
      <c r="K92" s="210">
        <v>137234082</v>
      </c>
      <c r="L92" s="210">
        <v>137234082</v>
      </c>
      <c r="M92" s="138">
        <f t="shared" si="1"/>
        <v>1</v>
      </c>
    </row>
    <row r="93" spans="1:13" ht="15.75" x14ac:dyDescent="0.25">
      <c r="A93" s="219">
        <v>204911</v>
      </c>
      <c r="B93" s="220">
        <v>20</v>
      </c>
      <c r="C93" s="209" t="s">
        <v>77</v>
      </c>
      <c r="D93" s="210">
        <v>106706050</v>
      </c>
      <c r="K93" s="210">
        <v>106706050</v>
      </c>
      <c r="L93" s="210">
        <v>106706050</v>
      </c>
      <c r="M93" s="138">
        <f t="shared" si="1"/>
        <v>1</v>
      </c>
    </row>
    <row r="94" spans="1:13" ht="15.75" x14ac:dyDescent="0.25">
      <c r="A94" s="219">
        <v>204913</v>
      </c>
      <c r="B94" s="220">
        <v>20</v>
      </c>
      <c r="C94" s="209" t="s">
        <v>78</v>
      </c>
      <c r="D94" s="210">
        <v>716824911</v>
      </c>
      <c r="K94" s="210">
        <v>716824911</v>
      </c>
      <c r="L94" s="210">
        <v>716824911</v>
      </c>
      <c r="M94" s="138">
        <f t="shared" si="1"/>
        <v>1</v>
      </c>
    </row>
    <row r="95" spans="1:13" ht="15.75" x14ac:dyDescent="0.25">
      <c r="A95" s="219">
        <v>20410</v>
      </c>
      <c r="B95" s="220"/>
      <c r="C95" s="209" t="s">
        <v>79</v>
      </c>
      <c r="D95" s="210">
        <f>+D96</f>
        <v>4869098459</v>
      </c>
      <c r="K95" s="210">
        <f>+K96</f>
        <v>4869098459</v>
      </c>
      <c r="L95" s="210">
        <f>+L96</f>
        <v>4869098459</v>
      </c>
      <c r="M95" s="138">
        <f t="shared" si="1"/>
        <v>1</v>
      </c>
    </row>
    <row r="96" spans="1:13" ht="31.5" x14ac:dyDescent="0.25">
      <c r="A96" s="219">
        <v>204102</v>
      </c>
      <c r="B96" s="220">
        <v>20</v>
      </c>
      <c r="C96" s="209" t="s">
        <v>80</v>
      </c>
      <c r="D96" s="210">
        <v>4869098459</v>
      </c>
      <c r="K96" s="210">
        <v>4869098459</v>
      </c>
      <c r="L96" s="210">
        <v>4869098459</v>
      </c>
      <c r="M96" s="138">
        <f t="shared" si="1"/>
        <v>1</v>
      </c>
    </row>
    <row r="97" spans="1:13" ht="31.5" x14ac:dyDescent="0.25">
      <c r="A97" s="219">
        <v>20411</v>
      </c>
      <c r="B97" s="220"/>
      <c r="C97" s="209" t="s">
        <v>81</v>
      </c>
      <c r="D97" s="210">
        <f>+D98+D99</f>
        <v>96345791.409999996</v>
      </c>
      <c r="K97" s="210">
        <f>+K98+K99</f>
        <v>96295527.409999996</v>
      </c>
      <c r="L97" s="210">
        <f>+L98+L99</f>
        <v>96295527.409999996</v>
      </c>
      <c r="M97" s="138">
        <f t="shared" si="1"/>
        <v>1</v>
      </c>
    </row>
    <row r="98" spans="1:13" ht="31.5" x14ac:dyDescent="0.25">
      <c r="A98" s="219">
        <v>204111</v>
      </c>
      <c r="B98" s="220">
        <v>20</v>
      </c>
      <c r="C98" s="209" t="s">
        <v>82</v>
      </c>
      <c r="D98" s="210">
        <v>69945981</v>
      </c>
      <c r="K98" s="210">
        <v>69945981</v>
      </c>
      <c r="L98" s="210">
        <v>69945981</v>
      </c>
      <c r="M98" s="138">
        <f t="shared" si="1"/>
        <v>1</v>
      </c>
    </row>
    <row r="99" spans="1:13" ht="31.5" x14ac:dyDescent="0.25">
      <c r="A99" s="219">
        <v>204112</v>
      </c>
      <c r="B99" s="220">
        <v>20</v>
      </c>
      <c r="C99" s="209" t="s">
        <v>83</v>
      </c>
      <c r="D99" s="210">
        <v>26399810.41</v>
      </c>
      <c r="K99" s="210">
        <v>26349546.41</v>
      </c>
      <c r="L99" s="210">
        <v>26349546.41</v>
      </c>
      <c r="M99" s="138">
        <f t="shared" si="1"/>
        <v>1</v>
      </c>
    </row>
    <row r="100" spans="1:13" ht="15.75" x14ac:dyDescent="0.25">
      <c r="A100" s="219">
        <v>20414</v>
      </c>
      <c r="B100" s="220">
        <v>20</v>
      </c>
      <c r="C100" s="209" t="s">
        <v>84</v>
      </c>
      <c r="D100" s="210">
        <v>1657088</v>
      </c>
      <c r="K100" s="210">
        <v>1523948</v>
      </c>
      <c r="L100" s="210">
        <v>1523948</v>
      </c>
      <c r="M100" s="138">
        <f t="shared" si="1"/>
        <v>1</v>
      </c>
    </row>
    <row r="101" spans="1:13" ht="47.25" x14ac:dyDescent="0.25">
      <c r="A101" s="219">
        <v>20421</v>
      </c>
      <c r="B101" s="220"/>
      <c r="C101" s="209" t="s">
        <v>85</v>
      </c>
      <c r="D101" s="210">
        <f>+D102</f>
        <v>59160000</v>
      </c>
      <c r="K101" s="210">
        <f>+K102</f>
        <v>59160000</v>
      </c>
      <c r="L101" s="210">
        <f>+L102</f>
        <v>59160000</v>
      </c>
      <c r="M101" s="138">
        <f t="shared" si="1"/>
        <v>1</v>
      </c>
    </row>
    <row r="102" spans="1:13" ht="31.5" x14ac:dyDescent="0.25">
      <c r="A102" s="219">
        <v>204214</v>
      </c>
      <c r="B102" s="220">
        <v>20</v>
      </c>
      <c r="C102" s="209" t="s">
        <v>86</v>
      </c>
      <c r="D102" s="210">
        <v>59160000</v>
      </c>
      <c r="K102" s="210">
        <v>59160000</v>
      </c>
      <c r="L102" s="210">
        <v>59160000</v>
      </c>
      <c r="M102" s="138">
        <f t="shared" si="1"/>
        <v>1</v>
      </c>
    </row>
    <row r="103" spans="1:13" ht="47.25" x14ac:dyDescent="0.25">
      <c r="A103" s="219">
        <v>20441</v>
      </c>
      <c r="B103" s="220"/>
      <c r="C103" s="209" t="s">
        <v>87</v>
      </c>
      <c r="D103" s="210">
        <f>+D104</f>
        <v>1231431324.5899999</v>
      </c>
      <c r="K103" s="210">
        <f>+K104</f>
        <v>1231431324</v>
      </c>
      <c r="L103" s="210">
        <f>+L104</f>
        <v>1231431324</v>
      </c>
      <c r="M103" s="138">
        <f t="shared" si="1"/>
        <v>1</v>
      </c>
    </row>
    <row r="104" spans="1:13" ht="47.25" x14ac:dyDescent="0.25">
      <c r="A104" s="219">
        <v>2044113</v>
      </c>
      <c r="B104" s="220">
        <v>20</v>
      </c>
      <c r="C104" s="209" t="s">
        <v>87</v>
      </c>
      <c r="D104" s="210">
        <v>1231431324.5899999</v>
      </c>
      <c r="K104" s="210">
        <v>1231431324</v>
      </c>
      <c r="L104" s="210">
        <v>1231431324</v>
      </c>
      <c r="M104" s="138">
        <f t="shared" si="1"/>
        <v>1</v>
      </c>
    </row>
    <row r="105" spans="1:13" ht="31.5" x14ac:dyDescent="0.25">
      <c r="A105" s="219">
        <v>3</v>
      </c>
      <c r="B105" s="220"/>
      <c r="C105" s="209" t="s">
        <v>88</v>
      </c>
      <c r="D105" s="210">
        <f>+D106+D109</f>
        <v>11456780592</v>
      </c>
      <c r="K105" s="210">
        <f>+K106+K109</f>
        <v>11455489431.459999</v>
      </c>
      <c r="L105" s="210">
        <f>+L106+L109</f>
        <v>11455489431.459999</v>
      </c>
      <c r="M105" s="138">
        <f t="shared" si="1"/>
        <v>1</v>
      </c>
    </row>
    <row r="106" spans="1:13" ht="31.5" x14ac:dyDescent="0.25">
      <c r="A106" s="219">
        <v>32</v>
      </c>
      <c r="B106" s="220"/>
      <c r="C106" s="209" t="s">
        <v>89</v>
      </c>
      <c r="D106" s="210">
        <f t="shared" ref="D106:D107" si="2">+D107</f>
        <v>4051538577</v>
      </c>
      <c r="K106" s="210">
        <f t="shared" ref="K106:K107" si="3">+K107</f>
        <v>4051538577</v>
      </c>
      <c r="L106" s="210">
        <f t="shared" ref="L106:L107" si="4">+L107</f>
        <v>4051538577</v>
      </c>
      <c r="M106" s="138">
        <f t="shared" si="1"/>
        <v>1</v>
      </c>
    </row>
    <row r="107" spans="1:13" ht="15.75" x14ac:dyDescent="0.25">
      <c r="A107" s="219">
        <v>321</v>
      </c>
      <c r="B107" s="220"/>
      <c r="C107" s="209" t="s">
        <v>90</v>
      </c>
      <c r="D107" s="210">
        <f t="shared" si="2"/>
        <v>4051538577</v>
      </c>
      <c r="K107" s="210">
        <f t="shared" si="3"/>
        <v>4051538577</v>
      </c>
      <c r="L107" s="210">
        <f t="shared" si="4"/>
        <v>4051538577</v>
      </c>
      <c r="M107" s="138">
        <f t="shared" si="1"/>
        <v>1</v>
      </c>
    </row>
    <row r="108" spans="1:13" ht="31.5" x14ac:dyDescent="0.25">
      <c r="A108" s="219">
        <v>3211</v>
      </c>
      <c r="B108" s="220">
        <v>20</v>
      </c>
      <c r="C108" s="209" t="s">
        <v>91</v>
      </c>
      <c r="D108" s="210">
        <v>4051538577</v>
      </c>
      <c r="K108" s="210">
        <v>4051538577</v>
      </c>
      <c r="L108" s="210">
        <v>4051538577</v>
      </c>
      <c r="M108" s="138">
        <f t="shared" si="1"/>
        <v>1</v>
      </c>
    </row>
    <row r="109" spans="1:13" ht="16.5" thickBot="1" x14ac:dyDescent="0.3">
      <c r="A109" s="221">
        <v>36</v>
      </c>
      <c r="B109" s="222"/>
      <c r="C109" s="215" t="s">
        <v>92</v>
      </c>
      <c r="D109" s="216">
        <f>+D110</f>
        <v>7405242015</v>
      </c>
      <c r="K109" s="216">
        <f>+K110</f>
        <v>7403950854.46</v>
      </c>
      <c r="L109" s="216">
        <f>+L110</f>
        <v>7403950854.46</v>
      </c>
      <c r="M109" s="138">
        <f t="shared" si="1"/>
        <v>1</v>
      </c>
    </row>
    <row r="110" spans="1:13" ht="31.5" x14ac:dyDescent="0.25">
      <c r="A110" s="217">
        <v>361</v>
      </c>
      <c r="B110" s="218"/>
      <c r="C110" s="205" t="s">
        <v>93</v>
      </c>
      <c r="D110" s="223">
        <f>+D111+D112</f>
        <v>7405242015</v>
      </c>
      <c r="K110" s="223">
        <f>+K111+K112</f>
        <v>7403950854.46</v>
      </c>
      <c r="L110" s="223">
        <f>+L111+L112</f>
        <v>7403950854.46</v>
      </c>
      <c r="M110" s="138">
        <f t="shared" si="1"/>
        <v>1</v>
      </c>
    </row>
    <row r="111" spans="1:13" ht="31.5" x14ac:dyDescent="0.25">
      <c r="A111" s="224">
        <v>3611</v>
      </c>
      <c r="B111" s="225">
        <v>10</v>
      </c>
      <c r="C111" s="226" t="s">
        <v>93</v>
      </c>
      <c r="D111" s="227">
        <f>+D116+D114</f>
        <v>5470592400</v>
      </c>
      <c r="K111" s="227">
        <f>+K116+K114</f>
        <v>5470592400</v>
      </c>
      <c r="L111" s="227">
        <f>+L116+L114</f>
        <v>5470592400</v>
      </c>
      <c r="M111" s="138">
        <f t="shared" si="1"/>
        <v>1</v>
      </c>
    </row>
    <row r="112" spans="1:13" ht="31.5" x14ac:dyDescent="0.25">
      <c r="A112" s="219">
        <v>3611</v>
      </c>
      <c r="B112" s="220">
        <v>20</v>
      </c>
      <c r="C112" s="209" t="s">
        <v>93</v>
      </c>
      <c r="D112" s="228">
        <f>+D113+D115+D117</f>
        <v>1934649615</v>
      </c>
      <c r="K112" s="228">
        <f>+K113+K115+K117</f>
        <v>1933358454.46</v>
      </c>
      <c r="L112" s="228">
        <f>+L113+L115+L117</f>
        <v>1933358454.46</v>
      </c>
      <c r="M112" s="138">
        <f t="shared" si="1"/>
        <v>1</v>
      </c>
    </row>
    <row r="113" spans="1:13" ht="15.75" x14ac:dyDescent="0.25">
      <c r="A113" s="219">
        <v>36111</v>
      </c>
      <c r="B113" s="220">
        <v>20</v>
      </c>
      <c r="C113" s="209" t="s">
        <v>224</v>
      </c>
      <c r="D113" s="228">
        <v>0</v>
      </c>
      <c r="K113" s="228">
        <v>0</v>
      </c>
      <c r="L113" s="228">
        <v>0</v>
      </c>
      <c r="M113" s="138" t="e">
        <f t="shared" si="1"/>
        <v>#DIV/0!</v>
      </c>
    </row>
    <row r="114" spans="1:13" ht="15.75" x14ac:dyDescent="0.25">
      <c r="A114" s="219">
        <v>36112</v>
      </c>
      <c r="B114" s="220">
        <v>10</v>
      </c>
      <c r="C114" s="209" t="s">
        <v>225</v>
      </c>
      <c r="D114" s="228">
        <v>165167375</v>
      </c>
      <c r="K114" s="228">
        <v>165167375</v>
      </c>
      <c r="L114" s="228">
        <v>165167375</v>
      </c>
      <c r="M114" s="138">
        <f t="shared" si="1"/>
        <v>1</v>
      </c>
    </row>
    <row r="115" spans="1:13" ht="15.75" x14ac:dyDescent="0.25">
      <c r="A115" s="219">
        <v>36112</v>
      </c>
      <c r="B115" s="220">
        <v>20</v>
      </c>
      <c r="C115" s="209" t="s">
        <v>225</v>
      </c>
      <c r="D115" s="228">
        <v>376120821.54000002</v>
      </c>
      <c r="K115" s="228">
        <v>375829661</v>
      </c>
      <c r="L115" s="228">
        <v>375829661</v>
      </c>
      <c r="M115" s="138">
        <f t="shared" si="1"/>
        <v>1</v>
      </c>
    </row>
    <row r="116" spans="1:13" ht="15.75" x14ac:dyDescent="0.25">
      <c r="A116" s="219">
        <v>36113</v>
      </c>
      <c r="B116" s="220">
        <v>10</v>
      </c>
      <c r="C116" s="209" t="s">
        <v>226</v>
      </c>
      <c r="D116" s="228">
        <v>5305425025</v>
      </c>
      <c r="K116" s="228">
        <v>5305425025</v>
      </c>
      <c r="L116" s="228">
        <v>5305425025</v>
      </c>
      <c r="M116" s="138">
        <f t="shared" si="1"/>
        <v>1</v>
      </c>
    </row>
    <row r="117" spans="1:13" ht="16.5" thickBot="1" x14ac:dyDescent="0.3">
      <c r="A117" s="224">
        <v>36113</v>
      </c>
      <c r="B117" s="225">
        <v>20</v>
      </c>
      <c r="C117" s="226" t="s">
        <v>226</v>
      </c>
      <c r="D117" s="227">
        <v>1558528793.46</v>
      </c>
      <c r="K117" s="227">
        <v>1557528793.46</v>
      </c>
      <c r="L117" s="227">
        <v>1557528793.46</v>
      </c>
      <c r="M117" s="138">
        <f t="shared" si="1"/>
        <v>1</v>
      </c>
    </row>
    <row r="118" spans="1:13" ht="15.75" customHeight="1" thickBot="1" x14ac:dyDescent="0.3">
      <c r="A118" s="229" t="s">
        <v>96</v>
      </c>
      <c r="B118" s="230"/>
      <c r="C118" s="231" t="s">
        <v>97</v>
      </c>
      <c r="D118" s="202">
        <f>+D119</f>
        <v>761406880578</v>
      </c>
      <c r="K118" s="202">
        <f t="shared" ref="K118:K120" si="5">+K119</f>
        <v>761406880577.97998</v>
      </c>
      <c r="L118" s="202">
        <f t="shared" ref="L118:L120" si="6">+L119</f>
        <v>761406880577.97998</v>
      </c>
      <c r="M118" s="138">
        <f t="shared" si="1"/>
        <v>1</v>
      </c>
    </row>
    <row r="119" spans="1:13" ht="31.5" customHeight="1" x14ac:dyDescent="0.25">
      <c r="A119" s="217">
        <v>7</v>
      </c>
      <c r="B119" s="218"/>
      <c r="C119" s="205" t="s">
        <v>97</v>
      </c>
      <c r="D119" s="223">
        <f>+D120</f>
        <v>761406880578</v>
      </c>
      <c r="K119" s="223">
        <f t="shared" si="5"/>
        <v>761406880577.97998</v>
      </c>
      <c r="L119" s="223">
        <f t="shared" si="6"/>
        <v>761406880577.97998</v>
      </c>
      <c r="M119" s="138">
        <f t="shared" si="1"/>
        <v>1</v>
      </c>
    </row>
    <row r="120" spans="1:13" ht="33" customHeight="1" x14ac:dyDescent="0.25">
      <c r="A120" s="219">
        <v>71</v>
      </c>
      <c r="B120" s="220"/>
      <c r="C120" s="209" t="s">
        <v>98</v>
      </c>
      <c r="D120" s="228">
        <f>+D121</f>
        <v>761406880578</v>
      </c>
      <c r="K120" s="228">
        <f t="shared" si="5"/>
        <v>761406880577.97998</v>
      </c>
      <c r="L120" s="228">
        <f t="shared" si="6"/>
        <v>761406880577.97998</v>
      </c>
      <c r="M120" s="138">
        <f t="shared" si="1"/>
        <v>1</v>
      </c>
    </row>
    <row r="121" spans="1:13" ht="16.5" thickBot="1" x14ac:dyDescent="0.3">
      <c r="A121" s="221">
        <v>711</v>
      </c>
      <c r="B121" s="222">
        <v>11</v>
      </c>
      <c r="C121" s="215" t="s">
        <v>99</v>
      </c>
      <c r="D121" s="232">
        <f>709222207231+52184673347</f>
        <v>761406880578</v>
      </c>
      <c r="K121" s="232">
        <f>709222207231+52184673346.98</f>
        <v>761406880577.97998</v>
      </c>
      <c r="L121" s="232">
        <f>709222207231+52184673346.98</f>
        <v>761406880577.97998</v>
      </c>
      <c r="M121" s="138">
        <f t="shared" si="1"/>
        <v>1</v>
      </c>
    </row>
    <row r="122" spans="1:13" ht="16.5" thickBot="1" x14ac:dyDescent="0.3">
      <c r="A122" s="229" t="s">
        <v>100</v>
      </c>
      <c r="B122" s="230"/>
      <c r="C122" s="231" t="s">
        <v>101</v>
      </c>
      <c r="D122" s="202">
        <f>+D123+D146+D149+D154</f>
        <v>1991102044005</v>
      </c>
      <c r="K122" s="202">
        <f>+K123+K146+K149+K154</f>
        <v>1989341667726.28</v>
      </c>
      <c r="L122" s="202">
        <f>+L123+L146+L149+L154</f>
        <v>1989341667726.28</v>
      </c>
      <c r="M122" s="138">
        <f t="shared" si="1"/>
        <v>1</v>
      </c>
    </row>
    <row r="123" spans="1:13" ht="63" x14ac:dyDescent="0.25">
      <c r="A123" s="217">
        <v>113</v>
      </c>
      <c r="B123" s="218"/>
      <c r="C123" s="205" t="s">
        <v>102</v>
      </c>
      <c r="D123" s="210">
        <f>+D124+D136+D141+D144</f>
        <v>1897922407070</v>
      </c>
      <c r="K123" s="210">
        <f>+K124+K136+K141+K144</f>
        <v>1897895691334</v>
      </c>
      <c r="L123" s="210">
        <f>+L124+L136+L141+L144</f>
        <v>1897895691334</v>
      </c>
      <c r="M123" s="138">
        <f t="shared" si="1"/>
        <v>1</v>
      </c>
    </row>
    <row r="124" spans="1:13" ht="31.5" x14ac:dyDescent="0.25">
      <c r="A124" s="219">
        <v>113600</v>
      </c>
      <c r="B124" s="220"/>
      <c r="C124" s="209" t="s">
        <v>103</v>
      </c>
      <c r="D124" s="210">
        <f>SUM(D125:D135)</f>
        <v>1483412727135</v>
      </c>
      <c r="K124" s="210">
        <f>SUM(K125:K135)</f>
        <v>1483412727135</v>
      </c>
      <c r="L124" s="210">
        <f>SUM(L125:L135)</f>
        <v>1483412727135</v>
      </c>
      <c r="M124" s="138">
        <f t="shared" si="1"/>
        <v>1</v>
      </c>
    </row>
    <row r="125" spans="1:13" ht="110.25" x14ac:dyDescent="0.25">
      <c r="A125" s="219">
        <v>113600129</v>
      </c>
      <c r="B125" s="220">
        <v>11</v>
      </c>
      <c r="C125" s="209" t="s">
        <v>166</v>
      </c>
      <c r="D125" s="210">
        <v>37670192242</v>
      </c>
      <c r="K125" s="210">
        <v>37670192242</v>
      </c>
      <c r="L125" s="210">
        <v>37670192242</v>
      </c>
      <c r="M125" s="138">
        <f t="shared" si="1"/>
        <v>1</v>
      </c>
    </row>
    <row r="126" spans="1:13" ht="63" x14ac:dyDescent="0.25">
      <c r="A126" s="219">
        <v>113600130</v>
      </c>
      <c r="B126" s="220">
        <v>11</v>
      </c>
      <c r="C126" s="209" t="s">
        <v>167</v>
      </c>
      <c r="D126" s="210">
        <v>21300413208</v>
      </c>
      <c r="K126" s="210">
        <v>21300413208</v>
      </c>
      <c r="L126" s="210">
        <v>21300413208</v>
      </c>
      <c r="M126" s="138">
        <f t="shared" si="1"/>
        <v>1</v>
      </c>
    </row>
    <row r="127" spans="1:13" ht="47.25" x14ac:dyDescent="0.25">
      <c r="A127" s="219">
        <v>113600131</v>
      </c>
      <c r="B127" s="220">
        <v>11</v>
      </c>
      <c r="C127" s="209" t="s">
        <v>168</v>
      </c>
      <c r="D127" s="210">
        <v>1646021394</v>
      </c>
      <c r="K127" s="210">
        <v>1646021394</v>
      </c>
      <c r="L127" s="210">
        <v>1646021394</v>
      </c>
      <c r="M127" s="138">
        <f t="shared" si="1"/>
        <v>1</v>
      </c>
    </row>
    <row r="128" spans="1:13" ht="63" x14ac:dyDescent="0.25">
      <c r="A128" s="219">
        <v>113600132</v>
      </c>
      <c r="B128" s="220">
        <v>11</v>
      </c>
      <c r="C128" s="209" t="s">
        <v>169</v>
      </c>
      <c r="D128" s="210">
        <v>7500000000</v>
      </c>
      <c r="K128" s="210">
        <v>7500000000</v>
      </c>
      <c r="L128" s="210">
        <v>7500000000</v>
      </c>
      <c r="M128" s="138">
        <f t="shared" si="1"/>
        <v>1</v>
      </c>
    </row>
    <row r="129" spans="1:13" ht="63" x14ac:dyDescent="0.25">
      <c r="A129" s="219">
        <v>113600134</v>
      </c>
      <c r="B129" s="220">
        <v>10</v>
      </c>
      <c r="C129" s="209" t="s">
        <v>175</v>
      </c>
      <c r="D129" s="210">
        <v>87287400000</v>
      </c>
      <c r="K129" s="210">
        <v>87287400000</v>
      </c>
      <c r="L129" s="210">
        <v>87287400000</v>
      </c>
      <c r="M129" s="138">
        <f t="shared" si="1"/>
        <v>1</v>
      </c>
    </row>
    <row r="130" spans="1:13" ht="63" x14ac:dyDescent="0.25">
      <c r="A130" s="219">
        <v>113600134</v>
      </c>
      <c r="B130" s="220">
        <v>20</v>
      </c>
      <c r="C130" s="209" t="s">
        <v>175</v>
      </c>
      <c r="D130" s="210">
        <v>299385000000</v>
      </c>
      <c r="K130" s="210">
        <v>299385000000</v>
      </c>
      <c r="L130" s="210">
        <v>299385000000</v>
      </c>
      <c r="M130" s="138">
        <f t="shared" si="1"/>
        <v>1</v>
      </c>
    </row>
    <row r="131" spans="1:13" ht="78.75" x14ac:dyDescent="0.25">
      <c r="A131" s="219">
        <v>113600135</v>
      </c>
      <c r="B131" s="220">
        <v>10</v>
      </c>
      <c r="C131" s="209" t="s">
        <v>176</v>
      </c>
      <c r="D131" s="210">
        <v>523117555744</v>
      </c>
      <c r="K131" s="210">
        <v>523117555744</v>
      </c>
      <c r="L131" s="210">
        <v>523117555744</v>
      </c>
      <c r="M131" s="138">
        <f t="shared" si="1"/>
        <v>1</v>
      </c>
    </row>
    <row r="132" spans="1:13" ht="78.75" x14ac:dyDescent="0.25">
      <c r="A132" s="219">
        <v>113600135</v>
      </c>
      <c r="B132" s="220">
        <v>11</v>
      </c>
      <c r="C132" s="209" t="s">
        <v>176</v>
      </c>
      <c r="D132" s="210">
        <v>7751000000</v>
      </c>
      <c r="K132" s="210">
        <v>7751000000</v>
      </c>
      <c r="L132" s="210">
        <v>7751000000</v>
      </c>
      <c r="M132" s="138">
        <f t="shared" si="1"/>
        <v>1</v>
      </c>
    </row>
    <row r="133" spans="1:13" ht="78.75" x14ac:dyDescent="0.25">
      <c r="A133" s="219">
        <v>113600136</v>
      </c>
      <c r="B133" s="220">
        <v>10</v>
      </c>
      <c r="C133" s="209" t="s">
        <v>177</v>
      </c>
      <c r="D133" s="210">
        <v>383907144547</v>
      </c>
      <c r="K133" s="210">
        <v>383907144547</v>
      </c>
      <c r="L133" s="210">
        <v>383907144547</v>
      </c>
      <c r="M133" s="138">
        <f t="shared" si="1"/>
        <v>1</v>
      </c>
    </row>
    <row r="134" spans="1:13" ht="78.75" x14ac:dyDescent="0.25">
      <c r="A134" s="219">
        <v>113600136</v>
      </c>
      <c r="B134" s="220">
        <v>11</v>
      </c>
      <c r="C134" s="209" t="s">
        <v>177</v>
      </c>
      <c r="D134" s="210">
        <v>19668000000</v>
      </c>
      <c r="K134" s="210">
        <v>19668000000</v>
      </c>
      <c r="L134" s="210">
        <v>19668000000</v>
      </c>
      <c r="M134" s="138">
        <f t="shared" si="1"/>
        <v>1</v>
      </c>
    </row>
    <row r="135" spans="1:13" ht="78.75" x14ac:dyDescent="0.25">
      <c r="A135" s="219">
        <v>113600139</v>
      </c>
      <c r="B135" s="220">
        <v>10</v>
      </c>
      <c r="C135" s="209" t="s">
        <v>242</v>
      </c>
      <c r="D135" s="210">
        <v>94180000000</v>
      </c>
      <c r="K135" s="210">
        <v>94180000000</v>
      </c>
      <c r="L135" s="210">
        <v>94180000000</v>
      </c>
      <c r="M135" s="138">
        <f t="shared" si="1"/>
        <v>1</v>
      </c>
    </row>
    <row r="136" spans="1:13" ht="15.75" x14ac:dyDescent="0.25">
      <c r="A136" s="219">
        <v>113601</v>
      </c>
      <c r="B136" s="220"/>
      <c r="C136" s="209" t="s">
        <v>179</v>
      </c>
      <c r="D136" s="210">
        <f>SUM(D137:D140)</f>
        <v>378426679935</v>
      </c>
      <c r="K136" s="210">
        <f>SUM(K137:K140)</f>
        <v>378426679935</v>
      </c>
      <c r="L136" s="210">
        <f>SUM(L137:L140)</f>
        <v>378426679935</v>
      </c>
      <c r="M136" s="138">
        <f t="shared" si="1"/>
        <v>1</v>
      </c>
    </row>
    <row r="137" spans="1:13" ht="47.25" x14ac:dyDescent="0.25">
      <c r="A137" s="219">
        <v>1136013</v>
      </c>
      <c r="B137" s="220">
        <v>10</v>
      </c>
      <c r="C137" s="209" t="s">
        <v>104</v>
      </c>
      <c r="D137" s="210">
        <v>273340000000</v>
      </c>
      <c r="K137" s="210">
        <v>273340000000</v>
      </c>
      <c r="L137" s="210">
        <v>273340000000</v>
      </c>
      <c r="M137" s="138">
        <f t="shared" si="1"/>
        <v>1</v>
      </c>
    </row>
    <row r="138" spans="1:13" ht="47.25" x14ac:dyDescent="0.25">
      <c r="A138" s="219">
        <v>1136013</v>
      </c>
      <c r="B138" s="220">
        <v>20</v>
      </c>
      <c r="C138" s="209" t="s">
        <v>104</v>
      </c>
      <c r="D138" s="210">
        <v>30000000000</v>
      </c>
      <c r="K138" s="210">
        <v>30000000000</v>
      </c>
      <c r="L138" s="210">
        <v>30000000000</v>
      </c>
      <c r="M138" s="138">
        <f t="shared" si="1"/>
        <v>1</v>
      </c>
    </row>
    <row r="139" spans="1:13" ht="157.5" x14ac:dyDescent="0.25">
      <c r="A139" s="219">
        <v>11360111</v>
      </c>
      <c r="B139" s="220">
        <v>11</v>
      </c>
      <c r="C139" s="209" t="s">
        <v>243</v>
      </c>
      <c r="D139" s="210">
        <f>30929585313+7062000000</f>
        <v>37991585313</v>
      </c>
      <c r="K139" s="210">
        <f>30929585313+7062000000</f>
        <v>37991585313</v>
      </c>
      <c r="L139" s="210">
        <f>30929585313+7062000000</f>
        <v>37991585313</v>
      </c>
      <c r="M139" s="138">
        <f t="shared" ref="M139:M158" si="7">+L139/K139</f>
        <v>1</v>
      </c>
    </row>
    <row r="140" spans="1:13" ht="111" thickBot="1" x14ac:dyDescent="0.3">
      <c r="A140" s="224">
        <v>11360112</v>
      </c>
      <c r="B140" s="225">
        <v>11</v>
      </c>
      <c r="C140" s="226" t="s">
        <v>244</v>
      </c>
      <c r="D140" s="234">
        <f>31576094622+5519000000</f>
        <v>37095094622</v>
      </c>
      <c r="K140" s="234">
        <f>31576094622+5519000000</f>
        <v>37095094622</v>
      </c>
      <c r="L140" s="234">
        <f>31576094622+5519000000</f>
        <v>37095094622</v>
      </c>
      <c r="M140" s="138">
        <f t="shared" si="7"/>
        <v>1</v>
      </c>
    </row>
    <row r="141" spans="1:13" ht="16.5" thickBot="1" x14ac:dyDescent="0.3">
      <c r="A141" s="239">
        <v>113605</v>
      </c>
      <c r="B141" s="240"/>
      <c r="C141" s="241" t="s">
        <v>105</v>
      </c>
      <c r="D141" s="242">
        <f>+D142+D143</f>
        <v>34083000000</v>
      </c>
      <c r="E141" s="243"/>
      <c r="F141" s="243"/>
      <c r="G141" s="243"/>
      <c r="H141" s="243"/>
      <c r="I141" s="243"/>
      <c r="J141" s="243"/>
      <c r="K141" s="242">
        <f>+K142+K143</f>
        <v>34056284264</v>
      </c>
      <c r="L141" s="244">
        <f>+L142+L143</f>
        <v>34056284264</v>
      </c>
      <c r="M141" s="138">
        <f t="shared" si="7"/>
        <v>1</v>
      </c>
    </row>
    <row r="142" spans="1:13" ht="78.75" x14ac:dyDescent="0.25">
      <c r="A142" s="217">
        <v>1136057</v>
      </c>
      <c r="B142" s="218">
        <v>20</v>
      </c>
      <c r="C142" s="205" t="s">
        <v>106</v>
      </c>
      <c r="D142" s="206">
        <v>28579055053</v>
      </c>
      <c r="K142" s="206">
        <v>28552339317</v>
      </c>
      <c r="L142" s="206">
        <v>28552339317</v>
      </c>
      <c r="M142" s="138">
        <f t="shared" si="7"/>
        <v>1</v>
      </c>
    </row>
    <row r="143" spans="1:13" ht="79.5" thickBot="1" x14ac:dyDescent="0.3">
      <c r="A143" s="224">
        <v>1136057</v>
      </c>
      <c r="B143" s="225">
        <v>21</v>
      </c>
      <c r="C143" s="226" t="s">
        <v>106</v>
      </c>
      <c r="D143" s="234">
        <v>5503944947</v>
      </c>
      <c r="K143" s="234">
        <v>5503944947</v>
      </c>
      <c r="L143" s="234">
        <v>5503944947</v>
      </c>
      <c r="M143" s="138">
        <f t="shared" si="7"/>
        <v>1</v>
      </c>
    </row>
    <row r="144" spans="1:13" ht="16.5" thickBot="1" x14ac:dyDescent="0.3">
      <c r="A144" s="239">
        <v>113607</v>
      </c>
      <c r="B144" s="240"/>
      <c r="C144" s="241" t="s">
        <v>159</v>
      </c>
      <c r="D144" s="242">
        <f>+D145</f>
        <v>2000000000</v>
      </c>
      <c r="E144" s="243"/>
      <c r="F144" s="243"/>
      <c r="G144" s="243"/>
      <c r="H144" s="243"/>
      <c r="I144" s="243"/>
      <c r="J144" s="243"/>
      <c r="K144" s="242">
        <f>+K145</f>
        <v>2000000000</v>
      </c>
      <c r="L144" s="244">
        <f>+L145</f>
        <v>2000000000</v>
      </c>
      <c r="M144" s="138">
        <f t="shared" si="7"/>
        <v>1</v>
      </c>
    </row>
    <row r="145" spans="1:13" ht="48" thickBot="1" x14ac:dyDescent="0.3">
      <c r="A145" s="235">
        <v>1136071</v>
      </c>
      <c r="B145" s="236">
        <v>20</v>
      </c>
      <c r="C145" s="237" t="s">
        <v>238</v>
      </c>
      <c r="D145" s="238">
        <v>2000000000</v>
      </c>
      <c r="K145" s="238">
        <v>2000000000</v>
      </c>
      <c r="L145" s="238">
        <v>2000000000</v>
      </c>
      <c r="M145" s="138">
        <f t="shared" si="7"/>
        <v>1</v>
      </c>
    </row>
    <row r="146" spans="1:13" ht="78.75" x14ac:dyDescent="0.25">
      <c r="A146" s="219">
        <v>223</v>
      </c>
      <c r="B146" s="220"/>
      <c r="C146" s="209" t="s">
        <v>180</v>
      </c>
      <c r="D146" s="210">
        <f t="shared" ref="D146:D147" si="8">+D147</f>
        <v>1500000000</v>
      </c>
      <c r="K146" s="210">
        <f t="shared" ref="K146:K147" si="9">+K147</f>
        <v>1500000000</v>
      </c>
      <c r="L146" s="210">
        <f t="shared" ref="L146:L147" si="10">+L147</f>
        <v>1500000000</v>
      </c>
      <c r="M146" s="138">
        <f t="shared" si="7"/>
        <v>1</v>
      </c>
    </row>
    <row r="147" spans="1:13" ht="31.5" x14ac:dyDescent="0.25">
      <c r="A147" s="219">
        <v>223600</v>
      </c>
      <c r="B147" s="220"/>
      <c r="C147" s="209" t="s">
        <v>103</v>
      </c>
      <c r="D147" s="210">
        <f t="shared" si="8"/>
        <v>1500000000</v>
      </c>
      <c r="K147" s="210">
        <f t="shared" si="9"/>
        <v>1500000000</v>
      </c>
      <c r="L147" s="210">
        <f t="shared" si="10"/>
        <v>1500000000</v>
      </c>
      <c r="M147" s="138">
        <f t="shared" si="7"/>
        <v>1</v>
      </c>
    </row>
    <row r="148" spans="1:13" ht="110.25" x14ac:dyDescent="0.25">
      <c r="A148" s="219">
        <v>2236001</v>
      </c>
      <c r="B148" s="220">
        <v>20</v>
      </c>
      <c r="C148" s="209" t="s">
        <v>182</v>
      </c>
      <c r="D148" s="210">
        <v>1500000000</v>
      </c>
      <c r="K148" s="210">
        <v>1500000000</v>
      </c>
      <c r="L148" s="210">
        <v>1500000000</v>
      </c>
      <c r="M148" s="138">
        <f t="shared" si="7"/>
        <v>1</v>
      </c>
    </row>
    <row r="149" spans="1:13" ht="94.5" x14ac:dyDescent="0.25">
      <c r="A149" s="219">
        <v>520</v>
      </c>
      <c r="B149" s="220"/>
      <c r="C149" s="209" t="s">
        <v>245</v>
      </c>
      <c r="D149" s="210">
        <f>+D150</f>
        <v>36632262485</v>
      </c>
      <c r="K149" s="210">
        <f>+K150</f>
        <v>34900708144.279999</v>
      </c>
      <c r="L149" s="210">
        <f>+L150</f>
        <v>34900708144.279999</v>
      </c>
      <c r="M149" s="138">
        <f t="shared" si="7"/>
        <v>1</v>
      </c>
    </row>
    <row r="150" spans="1:13" ht="31.5" x14ac:dyDescent="0.25">
      <c r="A150" s="219">
        <v>520600</v>
      </c>
      <c r="B150" s="220"/>
      <c r="C150" s="209" t="s">
        <v>103</v>
      </c>
      <c r="D150" s="210">
        <f>SUM(D151:D153)</f>
        <v>36632262485</v>
      </c>
      <c r="K150" s="210">
        <f>SUM(K151:K153)</f>
        <v>34900708144.279999</v>
      </c>
      <c r="L150" s="210">
        <f>SUM(L151:L153)</f>
        <v>34900708144.279999</v>
      </c>
      <c r="M150" s="138">
        <f t="shared" si="7"/>
        <v>1</v>
      </c>
    </row>
    <row r="151" spans="1:13" ht="78.75" x14ac:dyDescent="0.25">
      <c r="A151" s="219">
        <v>5206002</v>
      </c>
      <c r="B151" s="220">
        <v>20</v>
      </c>
      <c r="C151" s="209" t="s">
        <v>183</v>
      </c>
      <c r="D151" s="211">
        <v>16934065823</v>
      </c>
      <c r="K151" s="211">
        <v>15666802977.280001</v>
      </c>
      <c r="L151" s="210">
        <v>15666802977.280001</v>
      </c>
      <c r="M151" s="138">
        <f t="shared" si="7"/>
        <v>1</v>
      </c>
    </row>
    <row r="152" spans="1:13" ht="78.75" x14ac:dyDescent="0.25">
      <c r="A152" s="219">
        <v>5206003</v>
      </c>
      <c r="B152" s="220">
        <v>20</v>
      </c>
      <c r="C152" s="209" t="s">
        <v>184</v>
      </c>
      <c r="D152" s="210">
        <v>205000000</v>
      </c>
      <c r="K152" s="210">
        <v>205000000</v>
      </c>
      <c r="L152" s="210">
        <v>205000000</v>
      </c>
      <c r="M152" s="138">
        <f t="shared" si="7"/>
        <v>1</v>
      </c>
    </row>
    <row r="153" spans="1:13" ht="63" x14ac:dyDescent="0.25">
      <c r="A153" s="219">
        <v>5206007</v>
      </c>
      <c r="B153" s="220">
        <v>20</v>
      </c>
      <c r="C153" s="209" t="s">
        <v>246</v>
      </c>
      <c r="D153" s="210">
        <v>19493196662</v>
      </c>
      <c r="K153" s="211">
        <v>19028905167</v>
      </c>
      <c r="L153" s="210">
        <v>19028905167</v>
      </c>
      <c r="M153" s="138">
        <f t="shared" si="7"/>
        <v>1</v>
      </c>
    </row>
    <row r="154" spans="1:13" ht="78.75" x14ac:dyDescent="0.25">
      <c r="A154" s="219">
        <v>530</v>
      </c>
      <c r="B154" s="220"/>
      <c r="C154" s="209" t="s">
        <v>107</v>
      </c>
      <c r="D154" s="228">
        <f>+D155</f>
        <v>55047374450</v>
      </c>
      <c r="K154" s="228">
        <f>+K155</f>
        <v>55045268248</v>
      </c>
      <c r="L154" s="228">
        <f>+L155</f>
        <v>55045268248</v>
      </c>
      <c r="M154" s="138">
        <f t="shared" si="7"/>
        <v>1</v>
      </c>
    </row>
    <row r="155" spans="1:13" ht="31.5" x14ac:dyDescent="0.25">
      <c r="A155" s="219">
        <v>530600</v>
      </c>
      <c r="B155" s="220"/>
      <c r="C155" s="209" t="s">
        <v>103</v>
      </c>
      <c r="D155" s="228">
        <f>+D156+D157</f>
        <v>55047374450</v>
      </c>
      <c r="K155" s="228">
        <f>+K156+K157</f>
        <v>55045268248</v>
      </c>
      <c r="L155" s="228">
        <f>+L156+L157</f>
        <v>55045268248</v>
      </c>
      <c r="M155" s="138">
        <f t="shared" si="7"/>
        <v>1</v>
      </c>
    </row>
    <row r="156" spans="1:13" ht="94.5" x14ac:dyDescent="0.25">
      <c r="A156" s="219">
        <v>5306003</v>
      </c>
      <c r="B156" s="220">
        <v>11</v>
      </c>
      <c r="C156" s="209" t="s">
        <v>149</v>
      </c>
      <c r="D156" s="228">
        <v>41977592930</v>
      </c>
      <c r="K156" s="228">
        <v>41977592930</v>
      </c>
      <c r="L156" s="228">
        <v>41977592930</v>
      </c>
      <c r="M156" s="138">
        <f t="shared" si="7"/>
        <v>1</v>
      </c>
    </row>
    <row r="157" spans="1:13" ht="95.25" thickBot="1" x14ac:dyDescent="0.3">
      <c r="A157" s="221">
        <v>5306003</v>
      </c>
      <c r="B157" s="222">
        <v>20</v>
      </c>
      <c r="C157" s="215" t="s">
        <v>150</v>
      </c>
      <c r="D157" s="232">
        <v>13069781520</v>
      </c>
      <c r="K157" s="232">
        <v>13067675318</v>
      </c>
      <c r="L157" s="232">
        <v>13067675318</v>
      </c>
      <c r="M157" s="138">
        <f t="shared" si="7"/>
        <v>1</v>
      </c>
    </row>
    <row r="158" spans="1:13" ht="16.5" thickBot="1" x14ac:dyDescent="0.3">
      <c r="A158" s="265" t="s">
        <v>108</v>
      </c>
      <c r="B158" s="266"/>
      <c r="C158" s="267"/>
      <c r="D158" s="233">
        <f>+D122+D11+D118</f>
        <v>2820327417097</v>
      </c>
      <c r="K158" s="233">
        <f>+K122+K11+K118</f>
        <v>2817877411760.3896</v>
      </c>
      <c r="L158" s="233">
        <f t="shared" ref="L158" si="11">+L122+L11+L118</f>
        <v>2817877411760.3896</v>
      </c>
      <c r="M158" s="245">
        <f t="shared" si="7"/>
        <v>1</v>
      </c>
    </row>
  </sheetData>
  <mergeCells count="9">
    <mergeCell ref="L8:L9"/>
    <mergeCell ref="M8:M9"/>
    <mergeCell ref="A158:C158"/>
    <mergeCell ref="A8:A10"/>
    <mergeCell ref="B8:B10"/>
    <mergeCell ref="C8:C10"/>
    <mergeCell ref="D8:D9"/>
    <mergeCell ref="E8:J8"/>
    <mergeCell ref="K8:K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C8D5-785B-49DE-B4F6-FE4B952DC005}">
  <sheetPr>
    <tabColor theme="9"/>
  </sheetPr>
  <dimension ref="A1:N161"/>
  <sheetViews>
    <sheetView tabSelected="1" workbookViewId="0">
      <selection activeCell="C5" sqref="C5"/>
    </sheetView>
  </sheetViews>
  <sheetFormatPr baseColWidth="10" defaultRowHeight="15" x14ac:dyDescent="0.25"/>
  <cols>
    <col min="3" max="3" width="27.5703125" customWidth="1"/>
    <col min="4" max="4" width="23.5703125" customWidth="1"/>
    <col min="5" max="10" width="0" hidden="1" customWidth="1"/>
    <col min="11" max="11" width="23.85546875" customWidth="1"/>
    <col min="12" max="12" width="23.140625" customWidth="1"/>
    <col min="13" max="13" width="18.140625" customWidth="1"/>
    <col min="14" max="14" width="14.85546875" bestFit="1" customWidth="1"/>
  </cols>
  <sheetData>
    <row r="1" spans="1:14" ht="15.75" thickBot="1" x14ac:dyDescent="0.3">
      <c r="A1" s="4"/>
      <c r="B1" s="15"/>
      <c r="C1" s="11"/>
      <c r="D1" s="12"/>
      <c r="E1" s="12"/>
      <c r="F1" s="12"/>
      <c r="G1" s="12"/>
      <c r="H1" s="12"/>
      <c r="I1" s="12"/>
      <c r="J1" s="12"/>
      <c r="K1" s="12"/>
      <c r="L1" s="12"/>
      <c r="M1" s="19"/>
    </row>
    <row r="2" spans="1:14" ht="23.25" x14ac:dyDescent="0.25">
      <c r="A2" s="8"/>
      <c r="B2" s="14"/>
      <c r="C2" s="45" t="s">
        <v>199</v>
      </c>
      <c r="D2" s="9"/>
      <c r="E2" s="9"/>
      <c r="F2" s="9"/>
      <c r="G2" s="9"/>
      <c r="H2" s="9"/>
      <c r="I2" s="9"/>
      <c r="J2" s="9"/>
      <c r="K2" s="9"/>
      <c r="L2" s="9"/>
      <c r="M2" s="41"/>
    </row>
    <row r="3" spans="1:14" x14ac:dyDescent="0.25">
      <c r="A3" s="10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2"/>
    </row>
    <row r="4" spans="1:14" ht="18.75" x14ac:dyDescent="0.25">
      <c r="A4" s="10"/>
      <c r="B4" s="15"/>
      <c r="C4" s="44" t="s">
        <v>200</v>
      </c>
      <c r="D4" s="40"/>
      <c r="E4" s="4"/>
      <c r="F4" s="4"/>
      <c r="G4" s="4"/>
      <c r="H4" s="4"/>
      <c r="I4" s="4"/>
      <c r="J4" s="4"/>
      <c r="K4" s="4"/>
      <c r="L4" s="4"/>
      <c r="M4" s="42"/>
    </row>
    <row r="5" spans="1:14" ht="18.75" x14ac:dyDescent="0.25">
      <c r="A5" s="10"/>
      <c r="B5" s="15"/>
      <c r="C5" s="44" t="s">
        <v>213</v>
      </c>
      <c r="D5" s="40"/>
      <c r="E5" s="4"/>
      <c r="F5" s="4"/>
      <c r="G5" s="4"/>
      <c r="H5" s="4"/>
      <c r="I5" s="4"/>
      <c r="J5" s="4"/>
      <c r="K5" s="4"/>
      <c r="L5" s="4"/>
      <c r="M5" s="42"/>
    </row>
    <row r="6" spans="1:14" x14ac:dyDescent="0.25">
      <c r="A6" s="10"/>
      <c r="B6" s="15"/>
      <c r="C6" s="4"/>
      <c r="D6" s="40"/>
      <c r="E6" s="4"/>
      <c r="F6" s="4"/>
      <c r="G6" s="4"/>
      <c r="H6" s="4"/>
      <c r="I6" s="4"/>
      <c r="J6" s="4"/>
      <c r="K6" s="4"/>
      <c r="L6" s="4"/>
      <c r="M6" s="42"/>
    </row>
    <row r="7" spans="1:14" ht="15.75" thickBot="1" x14ac:dyDescent="0.3">
      <c r="A7" s="10"/>
      <c r="B7" s="15"/>
      <c r="C7" s="11"/>
      <c r="D7" s="12"/>
      <c r="E7" s="12"/>
      <c r="F7" s="12"/>
      <c r="G7" s="12"/>
      <c r="H7" s="12"/>
      <c r="I7" s="12"/>
      <c r="J7" s="12"/>
      <c r="K7" s="12"/>
      <c r="L7" s="12"/>
      <c r="M7" s="43"/>
    </row>
    <row r="8" spans="1:14" ht="15.75" thickBot="1" x14ac:dyDescent="0.3">
      <c r="A8" s="261" t="s">
        <v>202</v>
      </c>
      <c r="B8" s="261" t="s">
        <v>203</v>
      </c>
      <c r="C8" s="261" t="s">
        <v>204</v>
      </c>
      <c r="D8" s="256" t="s">
        <v>109</v>
      </c>
      <c r="E8" s="256" t="s">
        <v>117</v>
      </c>
      <c r="F8" s="256"/>
      <c r="G8" s="256"/>
      <c r="H8" s="256"/>
      <c r="I8" s="256"/>
      <c r="J8" s="256"/>
      <c r="K8" s="256" t="s">
        <v>127</v>
      </c>
      <c r="L8" s="256" t="s">
        <v>241</v>
      </c>
      <c r="M8" s="256" t="s">
        <v>126</v>
      </c>
    </row>
    <row r="9" spans="1:14" ht="75" x14ac:dyDescent="0.25">
      <c r="A9" s="262"/>
      <c r="B9" s="262"/>
      <c r="C9" s="262"/>
      <c r="D9" s="257"/>
      <c r="E9" s="162" t="s">
        <v>110</v>
      </c>
      <c r="F9" s="162" t="s">
        <v>111</v>
      </c>
      <c r="G9" s="162" t="s">
        <v>112</v>
      </c>
      <c r="H9" s="162" t="s">
        <v>113</v>
      </c>
      <c r="I9" s="162" t="s">
        <v>114</v>
      </c>
      <c r="J9" s="162" t="s">
        <v>115</v>
      </c>
      <c r="K9" s="257"/>
      <c r="L9" s="257" t="s">
        <v>0</v>
      </c>
      <c r="M9" s="257" t="s">
        <v>1</v>
      </c>
    </row>
    <row r="10" spans="1:14" ht="30.75" thickBot="1" x14ac:dyDescent="0.3">
      <c r="A10" s="263"/>
      <c r="B10" s="263" t="s">
        <v>203</v>
      </c>
      <c r="C10" s="263"/>
      <c r="D10" s="13" t="s">
        <v>116</v>
      </c>
      <c r="E10" s="13" t="s">
        <v>118</v>
      </c>
      <c r="F10" s="13" t="s">
        <v>119</v>
      </c>
      <c r="G10" s="13" t="s">
        <v>122</v>
      </c>
      <c r="H10" s="13" t="s">
        <v>120</v>
      </c>
      <c r="I10" s="13" t="s">
        <v>121</v>
      </c>
      <c r="J10" s="13" t="s">
        <v>123</v>
      </c>
      <c r="K10" s="13" t="s">
        <v>124</v>
      </c>
      <c r="L10" s="18" t="s">
        <v>128</v>
      </c>
      <c r="M10" s="13" t="s">
        <v>129</v>
      </c>
    </row>
    <row r="11" spans="1:14" ht="14.25" customHeight="1" thickBot="1" x14ac:dyDescent="0.3">
      <c r="A11" s="163" t="s">
        <v>2</v>
      </c>
      <c r="B11" s="164"/>
      <c r="C11" s="165" t="s">
        <v>3</v>
      </c>
      <c r="D11" s="174">
        <f>+D12+D48+D101</f>
        <v>69284009651</v>
      </c>
      <c r="E11" s="182"/>
      <c r="F11" s="182"/>
      <c r="G11" s="182"/>
      <c r="H11" s="182"/>
      <c r="I11" s="182"/>
      <c r="J11" s="182"/>
      <c r="K11" s="174">
        <f>+K12+K48+K101</f>
        <v>69120611826</v>
      </c>
      <c r="L11" s="174">
        <f>+L12+L48+L101</f>
        <v>69120611826</v>
      </c>
      <c r="M11" s="94">
        <f>+L11/K11</f>
        <v>1</v>
      </c>
      <c r="N11" s="198"/>
    </row>
    <row r="12" spans="1:14" ht="45.75" customHeight="1" x14ac:dyDescent="0.25">
      <c r="A12" s="192">
        <v>1</v>
      </c>
      <c r="B12" s="166"/>
      <c r="C12" s="167" t="s">
        <v>4</v>
      </c>
      <c r="D12" s="175">
        <f>+D13</f>
        <v>50675020122</v>
      </c>
      <c r="E12" s="193"/>
      <c r="F12" s="193"/>
      <c r="G12" s="193"/>
      <c r="H12" s="193"/>
      <c r="I12" s="193"/>
      <c r="J12" s="193"/>
      <c r="K12" s="175">
        <f>+K13</f>
        <v>50511622297</v>
      </c>
      <c r="L12" s="175">
        <f>+L13</f>
        <v>50511622297</v>
      </c>
      <c r="M12" s="194">
        <f t="shared" ref="M12:M75" si="0">+L12/K12</f>
        <v>1</v>
      </c>
    </row>
    <row r="13" spans="1:14" ht="45.75" customHeight="1" x14ac:dyDescent="0.25">
      <c r="A13" s="183">
        <v>10</v>
      </c>
      <c r="B13" s="168"/>
      <c r="C13" s="169" t="s">
        <v>4</v>
      </c>
      <c r="D13" s="176">
        <f>+D14+D34+D37</f>
        <v>50675020122</v>
      </c>
      <c r="E13" s="184"/>
      <c r="F13" s="184"/>
      <c r="G13" s="184"/>
      <c r="H13" s="184"/>
      <c r="I13" s="184"/>
      <c r="J13" s="184"/>
      <c r="K13" s="176">
        <f>+K14+K34+K37</f>
        <v>50511622297</v>
      </c>
      <c r="L13" s="176">
        <f>+L14+L34+L37</f>
        <v>50511622297</v>
      </c>
      <c r="M13" s="185">
        <f t="shared" si="0"/>
        <v>1</v>
      </c>
    </row>
    <row r="14" spans="1:14" ht="45.75" customHeight="1" x14ac:dyDescent="0.25">
      <c r="A14" s="183">
        <v>101</v>
      </c>
      <c r="B14" s="168"/>
      <c r="C14" s="169" t="s">
        <v>5</v>
      </c>
      <c r="D14" s="176">
        <f>+D15+D19+D22+D30+D33</f>
        <v>32127004957</v>
      </c>
      <c r="E14" s="184"/>
      <c r="F14" s="184"/>
      <c r="G14" s="184"/>
      <c r="H14" s="184"/>
      <c r="I14" s="184"/>
      <c r="J14" s="184"/>
      <c r="K14" s="176">
        <f>+K15+K19+K22+K30+K33</f>
        <v>32127004957</v>
      </c>
      <c r="L14" s="176">
        <f>+L15+L19+L22+L30+L33</f>
        <v>32127004957</v>
      </c>
      <c r="M14" s="185">
        <f t="shared" si="0"/>
        <v>1</v>
      </c>
    </row>
    <row r="15" spans="1:14" ht="45.75" customHeight="1" x14ac:dyDescent="0.25">
      <c r="A15" s="183">
        <v>1011</v>
      </c>
      <c r="B15" s="168"/>
      <c r="C15" s="169" t="s">
        <v>6</v>
      </c>
      <c r="D15" s="176">
        <f>SUM(D16:D18)</f>
        <v>22896403741</v>
      </c>
      <c r="E15" s="184"/>
      <c r="F15" s="184"/>
      <c r="G15" s="184"/>
      <c r="H15" s="184"/>
      <c r="I15" s="184"/>
      <c r="J15" s="184"/>
      <c r="K15" s="176">
        <f>SUM(K16:K18)</f>
        <v>22896403741</v>
      </c>
      <c r="L15" s="176">
        <f>SUM(L16:L18)</f>
        <v>22896403741</v>
      </c>
      <c r="M15" s="185">
        <f t="shared" si="0"/>
        <v>1</v>
      </c>
    </row>
    <row r="16" spans="1:14" ht="45.75" customHeight="1" x14ac:dyDescent="0.25">
      <c r="A16" s="183">
        <v>10111</v>
      </c>
      <c r="B16" s="168">
        <v>20</v>
      </c>
      <c r="C16" s="169" t="s">
        <v>7</v>
      </c>
      <c r="D16" s="176">
        <v>21614037810</v>
      </c>
      <c r="E16" s="184"/>
      <c r="F16" s="184"/>
      <c r="G16" s="184"/>
      <c r="H16" s="184"/>
      <c r="I16" s="184"/>
      <c r="J16" s="184"/>
      <c r="K16" s="176">
        <v>21614037810</v>
      </c>
      <c r="L16" s="176">
        <v>21614037810</v>
      </c>
      <c r="M16" s="185">
        <f t="shared" si="0"/>
        <v>1</v>
      </c>
    </row>
    <row r="17" spans="1:13" ht="45.75" customHeight="1" x14ac:dyDescent="0.25">
      <c r="A17" s="183">
        <v>10112</v>
      </c>
      <c r="B17" s="168">
        <v>20</v>
      </c>
      <c r="C17" s="169" t="s">
        <v>8</v>
      </c>
      <c r="D17" s="176">
        <v>1219996097</v>
      </c>
      <c r="E17" s="184"/>
      <c r="F17" s="184"/>
      <c r="G17" s="184"/>
      <c r="H17" s="184"/>
      <c r="I17" s="184"/>
      <c r="J17" s="184"/>
      <c r="K17" s="176">
        <v>1219996097</v>
      </c>
      <c r="L17" s="176">
        <v>1219996097</v>
      </c>
      <c r="M17" s="185">
        <f t="shared" si="0"/>
        <v>1</v>
      </c>
    </row>
    <row r="18" spans="1:13" ht="45.75" customHeight="1" x14ac:dyDescent="0.25">
      <c r="A18" s="183">
        <v>10114</v>
      </c>
      <c r="B18" s="168">
        <v>20</v>
      </c>
      <c r="C18" s="169" t="s">
        <v>9</v>
      </c>
      <c r="D18" s="177">
        <v>62369834</v>
      </c>
      <c r="E18" s="184"/>
      <c r="F18" s="184"/>
      <c r="G18" s="184"/>
      <c r="H18" s="184"/>
      <c r="I18" s="184"/>
      <c r="J18" s="184"/>
      <c r="K18" s="177">
        <v>62369834</v>
      </c>
      <c r="L18" s="177">
        <v>62369834</v>
      </c>
      <c r="M18" s="185">
        <f t="shared" si="0"/>
        <v>1</v>
      </c>
    </row>
    <row r="19" spans="1:13" ht="45.75" customHeight="1" x14ac:dyDescent="0.25">
      <c r="A19" s="183">
        <v>1014</v>
      </c>
      <c r="B19" s="168"/>
      <c r="C19" s="169" t="s">
        <v>10</v>
      </c>
      <c r="D19" s="177">
        <f>SUM(D20:D21)</f>
        <v>3782221477</v>
      </c>
      <c r="E19" s="184"/>
      <c r="F19" s="184"/>
      <c r="G19" s="184"/>
      <c r="H19" s="184"/>
      <c r="I19" s="184"/>
      <c r="J19" s="184"/>
      <c r="K19" s="177">
        <f>SUM(K20:K21)</f>
        <v>3782221477</v>
      </c>
      <c r="L19" s="177">
        <f>SUM(L20:L21)</f>
        <v>3782221477</v>
      </c>
      <c r="M19" s="185">
        <f t="shared" si="0"/>
        <v>1</v>
      </c>
    </row>
    <row r="20" spans="1:13" ht="45.75" customHeight="1" x14ac:dyDescent="0.25">
      <c r="A20" s="183">
        <v>10141</v>
      </c>
      <c r="B20" s="168">
        <v>20</v>
      </c>
      <c r="C20" s="169" t="s">
        <v>216</v>
      </c>
      <c r="D20" s="177">
        <v>798428010</v>
      </c>
      <c r="E20" s="184"/>
      <c r="F20" s="184"/>
      <c r="G20" s="184"/>
      <c r="H20" s="184"/>
      <c r="I20" s="184"/>
      <c r="J20" s="184"/>
      <c r="K20" s="177">
        <v>798428010</v>
      </c>
      <c r="L20" s="177">
        <v>798428010</v>
      </c>
      <c r="M20" s="185">
        <f t="shared" si="0"/>
        <v>1</v>
      </c>
    </row>
    <row r="21" spans="1:13" ht="45.75" customHeight="1" x14ac:dyDescent="0.25">
      <c r="A21" s="183">
        <v>10142</v>
      </c>
      <c r="B21" s="168">
        <v>20</v>
      </c>
      <c r="C21" s="169" t="s">
        <v>11</v>
      </c>
      <c r="D21" s="177">
        <v>2983793467</v>
      </c>
      <c r="E21" s="184"/>
      <c r="F21" s="184"/>
      <c r="G21" s="184"/>
      <c r="H21" s="184"/>
      <c r="I21" s="184"/>
      <c r="J21" s="184"/>
      <c r="K21" s="177">
        <v>2983793467</v>
      </c>
      <c r="L21" s="177">
        <v>2983793467</v>
      </c>
      <c r="M21" s="185">
        <f t="shared" si="0"/>
        <v>1</v>
      </c>
    </row>
    <row r="22" spans="1:13" ht="45.75" customHeight="1" x14ac:dyDescent="0.25">
      <c r="A22" s="183">
        <v>1015</v>
      </c>
      <c r="B22" s="168"/>
      <c r="C22" s="169" t="s">
        <v>12</v>
      </c>
      <c r="D22" s="177">
        <f>SUM(D23:D29)</f>
        <v>5092045350</v>
      </c>
      <c r="E22" s="184"/>
      <c r="F22" s="184"/>
      <c r="G22" s="184"/>
      <c r="H22" s="184"/>
      <c r="I22" s="184"/>
      <c r="J22" s="184"/>
      <c r="K22" s="177">
        <f>SUM(K23:K29)</f>
        <v>5092045350</v>
      </c>
      <c r="L22" s="177">
        <f>SUM(L23:L29)</f>
        <v>5092045350</v>
      </c>
      <c r="M22" s="185">
        <f t="shared" si="0"/>
        <v>1</v>
      </c>
    </row>
    <row r="23" spans="1:13" ht="45.75" customHeight="1" x14ac:dyDescent="0.25">
      <c r="A23" s="183">
        <v>10152</v>
      </c>
      <c r="B23" s="168">
        <v>20</v>
      </c>
      <c r="C23" s="169" t="s">
        <v>13</v>
      </c>
      <c r="D23" s="177">
        <v>703943794</v>
      </c>
      <c r="E23" s="184"/>
      <c r="F23" s="184"/>
      <c r="G23" s="184"/>
      <c r="H23" s="184"/>
      <c r="I23" s="184"/>
      <c r="J23" s="184"/>
      <c r="K23" s="177">
        <v>703943794</v>
      </c>
      <c r="L23" s="177">
        <v>703943794</v>
      </c>
      <c r="M23" s="185">
        <f t="shared" si="0"/>
        <v>1</v>
      </c>
    </row>
    <row r="24" spans="1:13" ht="45.75" customHeight="1" x14ac:dyDescent="0.25">
      <c r="A24" s="183">
        <v>10155</v>
      </c>
      <c r="B24" s="168">
        <v>20</v>
      </c>
      <c r="C24" s="169" t="s">
        <v>14</v>
      </c>
      <c r="D24" s="177">
        <v>118999016</v>
      </c>
      <c r="E24" s="184"/>
      <c r="F24" s="184"/>
      <c r="G24" s="184"/>
      <c r="H24" s="184"/>
      <c r="I24" s="184"/>
      <c r="J24" s="184"/>
      <c r="K24" s="177">
        <v>118999016</v>
      </c>
      <c r="L24" s="177">
        <v>118999016</v>
      </c>
      <c r="M24" s="185">
        <f t="shared" si="0"/>
        <v>1</v>
      </c>
    </row>
    <row r="25" spans="1:13" ht="45.75" customHeight="1" x14ac:dyDescent="0.25">
      <c r="A25" s="183">
        <v>101512</v>
      </c>
      <c r="B25" s="168">
        <v>20</v>
      </c>
      <c r="C25" s="169" t="s">
        <v>15</v>
      </c>
      <c r="D25" s="177">
        <v>1898959</v>
      </c>
      <c r="E25" s="184"/>
      <c r="F25" s="184"/>
      <c r="G25" s="184"/>
      <c r="H25" s="184"/>
      <c r="I25" s="184"/>
      <c r="J25" s="184"/>
      <c r="K25" s="177">
        <v>1898959</v>
      </c>
      <c r="L25" s="177">
        <v>1898959</v>
      </c>
      <c r="M25" s="185">
        <f t="shared" si="0"/>
        <v>1</v>
      </c>
    </row>
    <row r="26" spans="1:13" ht="45.75" customHeight="1" x14ac:dyDescent="0.25">
      <c r="A26" s="183">
        <v>101514</v>
      </c>
      <c r="B26" s="168">
        <v>20</v>
      </c>
      <c r="C26" s="169" t="s">
        <v>16</v>
      </c>
      <c r="D26" s="176">
        <v>1007705196</v>
      </c>
      <c r="E26" s="184"/>
      <c r="F26" s="184"/>
      <c r="G26" s="184"/>
      <c r="H26" s="184"/>
      <c r="I26" s="184"/>
      <c r="J26" s="184"/>
      <c r="K26" s="176">
        <v>1007705196</v>
      </c>
      <c r="L26" s="177">
        <v>1007705196</v>
      </c>
      <c r="M26" s="185">
        <f t="shared" si="0"/>
        <v>1</v>
      </c>
    </row>
    <row r="27" spans="1:13" ht="45.75" customHeight="1" x14ac:dyDescent="0.25">
      <c r="A27" s="183">
        <v>101515</v>
      </c>
      <c r="B27" s="168">
        <v>20</v>
      </c>
      <c r="C27" s="169" t="s">
        <v>17</v>
      </c>
      <c r="D27" s="176">
        <v>994406644</v>
      </c>
      <c r="E27" s="184"/>
      <c r="F27" s="184"/>
      <c r="G27" s="184"/>
      <c r="H27" s="184"/>
      <c r="I27" s="184"/>
      <c r="J27" s="184"/>
      <c r="K27" s="176">
        <v>994406644</v>
      </c>
      <c r="L27" s="176">
        <v>994406644</v>
      </c>
      <c r="M27" s="185">
        <f t="shared" si="0"/>
        <v>1</v>
      </c>
    </row>
    <row r="28" spans="1:13" ht="45.75" customHeight="1" x14ac:dyDescent="0.25">
      <c r="A28" s="183">
        <v>101516</v>
      </c>
      <c r="B28" s="168">
        <v>20</v>
      </c>
      <c r="C28" s="169" t="s">
        <v>18</v>
      </c>
      <c r="D28" s="176">
        <v>2198515533</v>
      </c>
      <c r="E28" s="184"/>
      <c r="F28" s="184"/>
      <c r="G28" s="184"/>
      <c r="H28" s="184"/>
      <c r="I28" s="184"/>
      <c r="J28" s="184"/>
      <c r="K28" s="176">
        <v>2198515533</v>
      </c>
      <c r="L28" s="176">
        <v>2198515533</v>
      </c>
      <c r="M28" s="185">
        <f t="shared" si="0"/>
        <v>1</v>
      </c>
    </row>
    <row r="29" spans="1:13" ht="45.75" customHeight="1" x14ac:dyDescent="0.25">
      <c r="A29" s="183">
        <v>101592</v>
      </c>
      <c r="B29" s="168">
        <v>20</v>
      </c>
      <c r="C29" s="169" t="s">
        <v>19</v>
      </c>
      <c r="D29" s="176">
        <v>66576208</v>
      </c>
      <c r="E29" s="184"/>
      <c r="F29" s="184"/>
      <c r="G29" s="184"/>
      <c r="H29" s="184"/>
      <c r="I29" s="184"/>
      <c r="J29" s="184"/>
      <c r="K29" s="176">
        <v>66576208</v>
      </c>
      <c r="L29" s="176">
        <v>66576208</v>
      </c>
      <c r="M29" s="185">
        <f t="shared" si="0"/>
        <v>1</v>
      </c>
    </row>
    <row r="30" spans="1:13" ht="45.75" customHeight="1" x14ac:dyDescent="0.25">
      <c r="A30" s="183">
        <v>1019</v>
      </c>
      <c r="B30" s="168"/>
      <c r="C30" s="169" t="s">
        <v>20</v>
      </c>
      <c r="D30" s="176">
        <f>+D31+D32</f>
        <v>356334389</v>
      </c>
      <c r="E30" s="184"/>
      <c r="F30" s="184"/>
      <c r="G30" s="184"/>
      <c r="H30" s="184"/>
      <c r="I30" s="184"/>
      <c r="J30" s="184"/>
      <c r="K30" s="176">
        <f>+K31+K32</f>
        <v>356334389</v>
      </c>
      <c r="L30" s="176">
        <f>+L31+L32</f>
        <v>356334389</v>
      </c>
      <c r="M30" s="185">
        <f t="shared" si="0"/>
        <v>1</v>
      </c>
    </row>
    <row r="31" spans="1:13" ht="45.75" customHeight="1" x14ac:dyDescent="0.25">
      <c r="A31" s="183">
        <v>10191</v>
      </c>
      <c r="B31" s="168">
        <v>20</v>
      </c>
      <c r="C31" s="169" t="s">
        <v>21</v>
      </c>
      <c r="D31" s="176">
        <v>87455553</v>
      </c>
      <c r="E31" s="184"/>
      <c r="F31" s="184"/>
      <c r="G31" s="184"/>
      <c r="H31" s="184"/>
      <c r="I31" s="184"/>
      <c r="J31" s="184"/>
      <c r="K31" s="176">
        <v>87455553</v>
      </c>
      <c r="L31" s="176">
        <v>87455553</v>
      </c>
      <c r="M31" s="185">
        <f t="shared" si="0"/>
        <v>1</v>
      </c>
    </row>
    <row r="32" spans="1:13" ht="45.75" customHeight="1" x14ac:dyDescent="0.25">
      <c r="A32" s="183">
        <v>10193</v>
      </c>
      <c r="B32" s="168">
        <v>20</v>
      </c>
      <c r="C32" s="169" t="s">
        <v>22</v>
      </c>
      <c r="D32" s="176">
        <v>268878836</v>
      </c>
      <c r="E32" s="184"/>
      <c r="F32" s="184"/>
      <c r="G32" s="184"/>
      <c r="H32" s="184"/>
      <c r="I32" s="184"/>
      <c r="J32" s="184"/>
      <c r="K32" s="176">
        <v>268878836</v>
      </c>
      <c r="L32" s="176">
        <v>268878836</v>
      </c>
      <c r="M32" s="185">
        <f t="shared" si="0"/>
        <v>1</v>
      </c>
    </row>
    <row r="33" spans="1:13" ht="45.75" customHeight="1" x14ac:dyDescent="0.25">
      <c r="A33" s="183">
        <v>10110</v>
      </c>
      <c r="B33" s="168">
        <v>20</v>
      </c>
      <c r="C33" s="169" t="s">
        <v>217</v>
      </c>
      <c r="D33" s="179">
        <v>0</v>
      </c>
      <c r="E33" s="184"/>
      <c r="F33" s="184"/>
      <c r="G33" s="184"/>
      <c r="H33" s="184"/>
      <c r="I33" s="184"/>
      <c r="J33" s="184"/>
      <c r="K33" s="176">
        <v>0</v>
      </c>
      <c r="L33" s="176">
        <v>0</v>
      </c>
      <c r="M33" s="185">
        <v>0</v>
      </c>
    </row>
    <row r="34" spans="1:13" ht="45.75" customHeight="1" x14ac:dyDescent="0.25">
      <c r="A34" s="183">
        <v>102</v>
      </c>
      <c r="B34" s="168"/>
      <c r="C34" s="169" t="s">
        <v>24</v>
      </c>
      <c r="D34" s="177">
        <f>SUM(D35:D36)</f>
        <v>8911457434</v>
      </c>
      <c r="E34" s="184"/>
      <c r="F34" s="184"/>
      <c r="G34" s="184"/>
      <c r="H34" s="184"/>
      <c r="I34" s="184"/>
      <c r="J34" s="184"/>
      <c r="K34" s="177">
        <f>SUM(K35:K36)</f>
        <v>8748059609</v>
      </c>
      <c r="L34" s="177">
        <f>SUM(L35:L36)</f>
        <v>8748059609</v>
      </c>
      <c r="M34" s="185">
        <f t="shared" si="0"/>
        <v>1</v>
      </c>
    </row>
    <row r="35" spans="1:13" ht="45.75" customHeight="1" x14ac:dyDescent="0.25">
      <c r="A35" s="183">
        <v>10212</v>
      </c>
      <c r="B35" s="168">
        <v>20</v>
      </c>
      <c r="C35" s="169" t="s">
        <v>25</v>
      </c>
      <c r="D35" s="176">
        <v>433893043</v>
      </c>
      <c r="E35" s="184"/>
      <c r="F35" s="184"/>
      <c r="G35" s="184"/>
      <c r="H35" s="184"/>
      <c r="I35" s="184"/>
      <c r="J35" s="184"/>
      <c r="K35" s="176">
        <v>360653654</v>
      </c>
      <c r="L35" s="176">
        <v>360653654</v>
      </c>
      <c r="M35" s="185">
        <f t="shared" si="0"/>
        <v>1</v>
      </c>
    </row>
    <row r="36" spans="1:13" ht="45.75" customHeight="1" x14ac:dyDescent="0.25">
      <c r="A36" s="183">
        <v>10214</v>
      </c>
      <c r="B36" s="168">
        <v>20</v>
      </c>
      <c r="C36" s="169" t="s">
        <v>26</v>
      </c>
      <c r="D36" s="176">
        <v>8477564391</v>
      </c>
      <c r="E36" s="184"/>
      <c r="F36" s="184"/>
      <c r="G36" s="184"/>
      <c r="H36" s="184"/>
      <c r="I36" s="184"/>
      <c r="J36" s="184"/>
      <c r="K36" s="176">
        <v>8387405955</v>
      </c>
      <c r="L36" s="176">
        <v>8387405955</v>
      </c>
      <c r="M36" s="185">
        <f t="shared" si="0"/>
        <v>1</v>
      </c>
    </row>
    <row r="37" spans="1:13" ht="45.75" customHeight="1" x14ac:dyDescent="0.25">
      <c r="A37" s="183">
        <v>105</v>
      </c>
      <c r="B37" s="168"/>
      <c r="C37" s="169" t="s">
        <v>27</v>
      </c>
      <c r="D37" s="176">
        <f>+D38+D42+D46+D47</f>
        <v>9636557731</v>
      </c>
      <c r="E37" s="184"/>
      <c r="F37" s="184"/>
      <c r="G37" s="184"/>
      <c r="H37" s="184"/>
      <c r="I37" s="184"/>
      <c r="J37" s="184"/>
      <c r="K37" s="176">
        <f>+K38+K42+K46+K47</f>
        <v>9636557731</v>
      </c>
      <c r="L37" s="176">
        <f>+L38+L42+L46+L47</f>
        <v>9636557731</v>
      </c>
      <c r="M37" s="185">
        <f t="shared" si="0"/>
        <v>1</v>
      </c>
    </row>
    <row r="38" spans="1:13" ht="45.75" customHeight="1" x14ac:dyDescent="0.25">
      <c r="A38" s="183">
        <v>1051</v>
      </c>
      <c r="B38" s="168"/>
      <c r="C38" s="169" t="s">
        <v>28</v>
      </c>
      <c r="D38" s="176">
        <f>SUM(D39:D41)</f>
        <v>4823510529</v>
      </c>
      <c r="E38" s="184"/>
      <c r="F38" s="184"/>
      <c r="G38" s="184"/>
      <c r="H38" s="184"/>
      <c r="I38" s="184"/>
      <c r="J38" s="184"/>
      <c r="K38" s="176">
        <f>SUM(K39:K41)</f>
        <v>4823510529</v>
      </c>
      <c r="L38" s="176">
        <f>SUM(L39:L41)</f>
        <v>4823510529</v>
      </c>
      <c r="M38" s="185">
        <f t="shared" si="0"/>
        <v>1</v>
      </c>
    </row>
    <row r="39" spans="1:13" ht="45.75" customHeight="1" x14ac:dyDescent="0.25">
      <c r="A39" s="183">
        <v>10511</v>
      </c>
      <c r="B39" s="168">
        <v>20</v>
      </c>
      <c r="C39" s="169" t="s">
        <v>29</v>
      </c>
      <c r="D39" s="176">
        <v>1028521300</v>
      </c>
      <c r="E39" s="184"/>
      <c r="F39" s="184"/>
      <c r="G39" s="184"/>
      <c r="H39" s="184"/>
      <c r="I39" s="184"/>
      <c r="J39" s="184"/>
      <c r="K39" s="176">
        <v>1028521300</v>
      </c>
      <c r="L39" s="176">
        <v>1028521300</v>
      </c>
      <c r="M39" s="185">
        <f t="shared" si="0"/>
        <v>1</v>
      </c>
    </row>
    <row r="40" spans="1:13" ht="45.75" customHeight="1" x14ac:dyDescent="0.25">
      <c r="A40" s="183">
        <v>10513</v>
      </c>
      <c r="B40" s="168">
        <v>20</v>
      </c>
      <c r="C40" s="169" t="s">
        <v>30</v>
      </c>
      <c r="D40" s="176">
        <v>1714162604</v>
      </c>
      <c r="E40" s="184"/>
      <c r="F40" s="184"/>
      <c r="G40" s="184"/>
      <c r="H40" s="184"/>
      <c r="I40" s="184"/>
      <c r="J40" s="184"/>
      <c r="K40" s="176">
        <v>1714162604</v>
      </c>
      <c r="L40" s="176">
        <v>1714162604</v>
      </c>
      <c r="M40" s="185">
        <f t="shared" si="0"/>
        <v>1</v>
      </c>
    </row>
    <row r="41" spans="1:13" ht="45.75" customHeight="1" x14ac:dyDescent="0.25">
      <c r="A41" s="183">
        <v>10514</v>
      </c>
      <c r="B41" s="168">
        <v>20</v>
      </c>
      <c r="C41" s="169" t="s">
        <v>31</v>
      </c>
      <c r="D41" s="176">
        <v>2080826625</v>
      </c>
      <c r="E41" s="184"/>
      <c r="F41" s="184"/>
      <c r="G41" s="184"/>
      <c r="H41" s="184"/>
      <c r="I41" s="184"/>
      <c r="J41" s="184"/>
      <c r="K41" s="176">
        <v>2080826625</v>
      </c>
      <c r="L41" s="176">
        <v>2080826625</v>
      </c>
      <c r="M41" s="185">
        <f t="shared" si="0"/>
        <v>1</v>
      </c>
    </row>
    <row r="42" spans="1:13" ht="45.75" customHeight="1" x14ac:dyDescent="0.25">
      <c r="A42" s="183">
        <v>1052</v>
      </c>
      <c r="B42" s="168"/>
      <c r="C42" s="169" t="s">
        <v>32</v>
      </c>
      <c r="D42" s="176">
        <f>+D43+D44+D45</f>
        <v>3527287692</v>
      </c>
      <c r="E42" s="184"/>
      <c r="F42" s="184"/>
      <c r="G42" s="184"/>
      <c r="H42" s="184"/>
      <c r="I42" s="184"/>
      <c r="J42" s="184"/>
      <c r="K42" s="176">
        <f>+K43+K44+K45</f>
        <v>3527287692</v>
      </c>
      <c r="L42" s="176">
        <f>+L43+L44+L45</f>
        <v>3527287692</v>
      </c>
      <c r="M42" s="185">
        <f t="shared" si="0"/>
        <v>1</v>
      </c>
    </row>
    <row r="43" spans="1:13" ht="45.75" customHeight="1" x14ac:dyDescent="0.25">
      <c r="A43" s="183">
        <v>10522</v>
      </c>
      <c r="B43" s="168">
        <v>20</v>
      </c>
      <c r="C43" s="169" t="s">
        <v>33</v>
      </c>
      <c r="D43" s="176">
        <v>2202207940</v>
      </c>
      <c r="E43" s="184"/>
      <c r="F43" s="184"/>
      <c r="G43" s="184"/>
      <c r="H43" s="184"/>
      <c r="I43" s="184"/>
      <c r="J43" s="184"/>
      <c r="K43" s="176">
        <v>2202207940</v>
      </c>
      <c r="L43" s="176">
        <v>2202207940</v>
      </c>
      <c r="M43" s="185">
        <f t="shared" si="0"/>
        <v>1</v>
      </c>
    </row>
    <row r="44" spans="1:13" ht="45.75" customHeight="1" x14ac:dyDescent="0.25">
      <c r="A44" s="183">
        <v>10523</v>
      </c>
      <c r="B44" s="168">
        <v>20</v>
      </c>
      <c r="C44" s="169" t="s">
        <v>34</v>
      </c>
      <c r="D44" s="176">
        <v>1204704036</v>
      </c>
      <c r="E44" s="184"/>
      <c r="F44" s="184"/>
      <c r="G44" s="184"/>
      <c r="H44" s="184"/>
      <c r="I44" s="184"/>
      <c r="J44" s="184"/>
      <c r="K44" s="176">
        <v>1204704036</v>
      </c>
      <c r="L44" s="176">
        <v>1204704036</v>
      </c>
      <c r="M44" s="185">
        <f t="shared" si="0"/>
        <v>1</v>
      </c>
    </row>
    <row r="45" spans="1:13" ht="45.75" customHeight="1" x14ac:dyDescent="0.25">
      <c r="A45" s="183">
        <v>10527</v>
      </c>
      <c r="B45" s="168">
        <v>20</v>
      </c>
      <c r="C45" s="169" t="s">
        <v>35</v>
      </c>
      <c r="D45" s="176">
        <v>120375716</v>
      </c>
      <c r="E45" s="184"/>
      <c r="F45" s="184"/>
      <c r="G45" s="184"/>
      <c r="H45" s="184"/>
      <c r="I45" s="184"/>
      <c r="J45" s="184"/>
      <c r="K45" s="176">
        <v>120375716</v>
      </c>
      <c r="L45" s="176">
        <v>120375716</v>
      </c>
      <c r="M45" s="185">
        <f t="shared" si="0"/>
        <v>1</v>
      </c>
    </row>
    <row r="46" spans="1:13" ht="45.75" customHeight="1" x14ac:dyDescent="0.25">
      <c r="A46" s="183">
        <v>1056</v>
      </c>
      <c r="B46" s="168">
        <v>20</v>
      </c>
      <c r="C46" s="169" t="s">
        <v>36</v>
      </c>
      <c r="D46" s="176">
        <v>771433070</v>
      </c>
      <c r="E46" s="184"/>
      <c r="F46" s="184"/>
      <c r="G46" s="184"/>
      <c r="H46" s="184"/>
      <c r="I46" s="184"/>
      <c r="J46" s="184"/>
      <c r="K46" s="176">
        <v>771433070</v>
      </c>
      <c r="L46" s="176">
        <v>771433070</v>
      </c>
      <c r="M46" s="185">
        <f t="shared" si="0"/>
        <v>1</v>
      </c>
    </row>
    <row r="47" spans="1:13" ht="45.75" customHeight="1" x14ac:dyDescent="0.25">
      <c r="A47" s="183">
        <v>1057</v>
      </c>
      <c r="B47" s="168">
        <v>20</v>
      </c>
      <c r="C47" s="169" t="s">
        <v>37</v>
      </c>
      <c r="D47" s="176">
        <v>514326440</v>
      </c>
      <c r="E47" s="184"/>
      <c r="F47" s="184"/>
      <c r="G47" s="184"/>
      <c r="H47" s="184"/>
      <c r="I47" s="184"/>
      <c r="J47" s="184"/>
      <c r="K47" s="176">
        <v>514326440</v>
      </c>
      <c r="L47" s="176">
        <v>514326440</v>
      </c>
      <c r="M47" s="185">
        <f t="shared" si="0"/>
        <v>1</v>
      </c>
    </row>
    <row r="48" spans="1:13" ht="15.75" x14ac:dyDescent="0.25">
      <c r="A48" s="183">
        <v>2</v>
      </c>
      <c r="B48" s="168"/>
      <c r="C48" s="169" t="s">
        <v>38</v>
      </c>
      <c r="D48" s="176">
        <f>+D49</f>
        <v>8460218405.000001</v>
      </c>
      <c r="E48" s="184"/>
      <c r="F48" s="184"/>
      <c r="G48" s="184"/>
      <c r="H48" s="184"/>
      <c r="I48" s="184"/>
      <c r="J48" s="184"/>
      <c r="K48" s="176">
        <f>+K49</f>
        <v>8460218405.000001</v>
      </c>
      <c r="L48" s="176">
        <f>+L49</f>
        <v>8460218405.000001</v>
      </c>
      <c r="M48" s="185">
        <f t="shared" si="0"/>
        <v>1</v>
      </c>
    </row>
    <row r="49" spans="1:13" ht="15.75" x14ac:dyDescent="0.25">
      <c r="A49" s="183">
        <v>20</v>
      </c>
      <c r="B49" s="168"/>
      <c r="C49" s="169" t="s">
        <v>38</v>
      </c>
      <c r="D49" s="176">
        <f>+D55+D50</f>
        <v>8460218405.000001</v>
      </c>
      <c r="E49" s="184"/>
      <c r="F49" s="184"/>
      <c r="G49" s="184"/>
      <c r="H49" s="184"/>
      <c r="I49" s="184"/>
      <c r="J49" s="184"/>
      <c r="K49" s="176">
        <f>+K55+K50</f>
        <v>8460218405.000001</v>
      </c>
      <c r="L49" s="176">
        <f>+L55+L50</f>
        <v>8460218405.000001</v>
      </c>
      <c r="M49" s="185">
        <f t="shared" si="0"/>
        <v>1</v>
      </c>
    </row>
    <row r="50" spans="1:13" ht="15.75" x14ac:dyDescent="0.25">
      <c r="A50" s="183">
        <v>203</v>
      </c>
      <c r="B50" s="168"/>
      <c r="C50" s="169" t="s">
        <v>39</v>
      </c>
      <c r="D50" s="176">
        <f>+D51</f>
        <v>0</v>
      </c>
      <c r="E50" s="184"/>
      <c r="F50" s="184"/>
      <c r="G50" s="184"/>
      <c r="H50" s="184"/>
      <c r="I50" s="184"/>
      <c r="J50" s="184"/>
      <c r="K50" s="176">
        <f>+K51</f>
        <v>0</v>
      </c>
      <c r="L50" s="176">
        <f>+L51</f>
        <v>0</v>
      </c>
      <c r="M50" s="185">
        <v>0</v>
      </c>
    </row>
    <row r="51" spans="1:13" ht="31.5" x14ac:dyDescent="0.25">
      <c r="A51" s="183">
        <v>20350</v>
      </c>
      <c r="B51" s="168"/>
      <c r="C51" s="169" t="s">
        <v>40</v>
      </c>
      <c r="D51" s="177">
        <f>+D52+D53+D54</f>
        <v>0</v>
      </c>
      <c r="E51" s="184"/>
      <c r="F51" s="184"/>
      <c r="G51" s="184"/>
      <c r="H51" s="184"/>
      <c r="I51" s="184"/>
      <c r="J51" s="184"/>
      <c r="K51" s="177">
        <f>+K52+K53+K54</f>
        <v>0</v>
      </c>
      <c r="L51" s="177">
        <f>+L52+L53+L54</f>
        <v>0</v>
      </c>
      <c r="M51" s="185">
        <v>0</v>
      </c>
    </row>
    <row r="52" spans="1:13" ht="15.75" x14ac:dyDescent="0.25">
      <c r="A52" s="183">
        <v>203502</v>
      </c>
      <c r="B52" s="168">
        <v>20</v>
      </c>
      <c r="C52" s="169" t="s">
        <v>41</v>
      </c>
      <c r="D52" s="177">
        <v>0</v>
      </c>
      <c r="E52" s="184"/>
      <c r="F52" s="184"/>
      <c r="G52" s="184"/>
      <c r="H52" s="184"/>
      <c r="I52" s="184"/>
      <c r="J52" s="184"/>
      <c r="K52" s="177">
        <v>0</v>
      </c>
      <c r="L52" s="177">
        <v>0</v>
      </c>
      <c r="M52" s="185">
        <v>0</v>
      </c>
    </row>
    <row r="53" spans="1:13" ht="15.75" x14ac:dyDescent="0.25">
      <c r="A53" s="183">
        <v>203503</v>
      </c>
      <c r="B53" s="168">
        <v>20</v>
      </c>
      <c r="C53" s="169" t="s">
        <v>42</v>
      </c>
      <c r="D53" s="177">
        <v>0</v>
      </c>
      <c r="E53" s="184"/>
      <c r="F53" s="184"/>
      <c r="G53" s="184"/>
      <c r="H53" s="184"/>
      <c r="I53" s="184"/>
      <c r="J53" s="184"/>
      <c r="K53" s="177">
        <v>0</v>
      </c>
      <c r="L53" s="177">
        <v>0</v>
      </c>
      <c r="M53" s="185">
        <v>0</v>
      </c>
    </row>
    <row r="54" spans="1:13" ht="15.75" x14ac:dyDescent="0.25">
      <c r="A54" s="183">
        <v>2035090</v>
      </c>
      <c r="B54" s="168">
        <v>20</v>
      </c>
      <c r="C54" s="169" t="s">
        <v>218</v>
      </c>
      <c r="D54" s="177">
        <v>0</v>
      </c>
      <c r="E54" s="184"/>
      <c r="F54" s="184"/>
      <c r="G54" s="184"/>
      <c r="H54" s="184"/>
      <c r="I54" s="184"/>
      <c r="J54" s="184"/>
      <c r="K54" s="177">
        <v>0</v>
      </c>
      <c r="L54" s="177">
        <v>0</v>
      </c>
      <c r="M54" s="185">
        <v>0</v>
      </c>
    </row>
    <row r="55" spans="1:13" ht="31.5" x14ac:dyDescent="0.25">
      <c r="A55" s="183">
        <v>204</v>
      </c>
      <c r="B55" s="168"/>
      <c r="C55" s="169" t="s">
        <v>43</v>
      </c>
      <c r="D55" s="177">
        <f>+D59+D56+D66+D74+D78+D80+D85+D89+D94+D95+D99+D91</f>
        <v>8460218405.000001</v>
      </c>
      <c r="E55" s="184"/>
      <c r="F55" s="184"/>
      <c r="G55" s="184"/>
      <c r="H55" s="184"/>
      <c r="I55" s="184"/>
      <c r="J55" s="184"/>
      <c r="K55" s="177">
        <f>+K59+K56+K66+K74+K78+K80+K85+K89+K94+K95+K99+K91</f>
        <v>8460218405.000001</v>
      </c>
      <c r="L55" s="177">
        <f>+L59+L56+L66+L74+L78+L80+L85+L89+L94+L95+L99+L91</f>
        <v>8460218405.000001</v>
      </c>
      <c r="M55" s="185">
        <f t="shared" si="0"/>
        <v>1</v>
      </c>
    </row>
    <row r="56" spans="1:13" ht="15.75" x14ac:dyDescent="0.25">
      <c r="A56" s="183">
        <v>2041</v>
      </c>
      <c r="B56" s="168"/>
      <c r="C56" s="169" t="s">
        <v>131</v>
      </c>
      <c r="D56" s="176">
        <f>SUM(D57:D58)</f>
        <v>10585605</v>
      </c>
      <c r="E56" s="184"/>
      <c r="F56" s="184"/>
      <c r="G56" s="184"/>
      <c r="H56" s="184"/>
      <c r="I56" s="184"/>
      <c r="J56" s="184"/>
      <c r="K56" s="176">
        <f>SUM(K57:K58)</f>
        <v>10585605</v>
      </c>
      <c r="L56" s="176">
        <f>SUM(L57:L58)</f>
        <v>10585605</v>
      </c>
      <c r="M56" s="185">
        <f t="shared" si="0"/>
        <v>1</v>
      </c>
    </row>
    <row r="57" spans="1:13" ht="15.75" x14ac:dyDescent="0.25">
      <c r="A57" s="183">
        <v>20418</v>
      </c>
      <c r="B57" s="168">
        <v>20</v>
      </c>
      <c r="C57" s="169" t="s">
        <v>134</v>
      </c>
      <c r="D57" s="176">
        <v>5118334</v>
      </c>
      <c r="E57" s="184"/>
      <c r="F57" s="184"/>
      <c r="G57" s="184"/>
      <c r="H57" s="184"/>
      <c r="I57" s="184"/>
      <c r="J57" s="184"/>
      <c r="K57" s="176">
        <v>5118334</v>
      </c>
      <c r="L57" s="176">
        <v>5118334</v>
      </c>
      <c r="M57" s="185">
        <f t="shared" si="0"/>
        <v>1</v>
      </c>
    </row>
    <row r="58" spans="1:13" ht="31.5" x14ac:dyDescent="0.25">
      <c r="A58" s="183">
        <v>204125</v>
      </c>
      <c r="B58" s="168">
        <v>20</v>
      </c>
      <c r="C58" s="169" t="s">
        <v>219</v>
      </c>
      <c r="D58" s="177">
        <v>5467271</v>
      </c>
      <c r="E58" s="184"/>
      <c r="F58" s="184"/>
      <c r="G58" s="184"/>
      <c r="H58" s="184"/>
      <c r="I58" s="184"/>
      <c r="J58" s="184"/>
      <c r="K58" s="177">
        <v>5467271</v>
      </c>
      <c r="L58" s="176">
        <v>5467271</v>
      </c>
      <c r="M58" s="185">
        <f t="shared" si="0"/>
        <v>1</v>
      </c>
    </row>
    <row r="59" spans="1:13" ht="31.5" x14ac:dyDescent="0.25">
      <c r="A59" s="183">
        <v>2044</v>
      </c>
      <c r="B59" s="168"/>
      <c r="C59" s="169" t="s">
        <v>44</v>
      </c>
      <c r="D59" s="176">
        <f>SUM(D60:D65)</f>
        <v>78518347.180000007</v>
      </c>
      <c r="E59" s="184"/>
      <c r="F59" s="184"/>
      <c r="G59" s="184"/>
      <c r="H59" s="184"/>
      <c r="I59" s="184"/>
      <c r="J59" s="184"/>
      <c r="K59" s="176">
        <f>SUM(K60:K65)</f>
        <v>78518347.180000007</v>
      </c>
      <c r="L59" s="176">
        <f>SUM(L60:L65)</f>
        <v>78518347.180000007</v>
      </c>
      <c r="M59" s="185">
        <f t="shared" si="0"/>
        <v>1</v>
      </c>
    </row>
    <row r="60" spans="1:13" ht="31.5" x14ac:dyDescent="0.25">
      <c r="A60" s="183">
        <v>20441</v>
      </c>
      <c r="B60" s="168">
        <v>20</v>
      </c>
      <c r="C60" s="169" t="s">
        <v>45</v>
      </c>
      <c r="D60" s="176">
        <v>55659789</v>
      </c>
      <c r="E60" s="184"/>
      <c r="F60" s="184"/>
      <c r="G60" s="184"/>
      <c r="H60" s="184"/>
      <c r="I60" s="184"/>
      <c r="J60" s="184"/>
      <c r="K60" s="176">
        <v>55659789</v>
      </c>
      <c r="L60" s="176">
        <v>55659789</v>
      </c>
      <c r="M60" s="185">
        <f t="shared" si="0"/>
        <v>1</v>
      </c>
    </row>
    <row r="61" spans="1:13" ht="47.25" x14ac:dyDescent="0.25">
      <c r="A61" s="183">
        <v>204413</v>
      </c>
      <c r="B61" s="168">
        <v>20</v>
      </c>
      <c r="C61" s="169" t="s">
        <v>220</v>
      </c>
      <c r="D61" s="176">
        <v>0</v>
      </c>
      <c r="E61" s="184"/>
      <c r="F61" s="184"/>
      <c r="G61" s="184"/>
      <c r="H61" s="184"/>
      <c r="I61" s="184"/>
      <c r="J61" s="184"/>
      <c r="K61" s="176">
        <v>0</v>
      </c>
      <c r="L61" s="176">
        <v>0</v>
      </c>
      <c r="M61" s="185">
        <v>0</v>
      </c>
    </row>
    <row r="62" spans="1:13" ht="31.5" x14ac:dyDescent="0.25">
      <c r="A62" s="183">
        <v>204415</v>
      </c>
      <c r="B62" s="168">
        <v>20</v>
      </c>
      <c r="C62" s="169" t="s">
        <v>49</v>
      </c>
      <c r="D62" s="176">
        <v>19237875.18</v>
      </c>
      <c r="E62" s="184"/>
      <c r="F62" s="184"/>
      <c r="G62" s="184"/>
      <c r="H62" s="184"/>
      <c r="I62" s="184"/>
      <c r="J62" s="184"/>
      <c r="K62" s="176">
        <v>19237875.18</v>
      </c>
      <c r="L62" s="176">
        <v>19237875.18</v>
      </c>
      <c r="M62" s="185">
        <f t="shared" si="0"/>
        <v>1</v>
      </c>
    </row>
    <row r="63" spans="1:13" ht="31.5" x14ac:dyDescent="0.25">
      <c r="A63" s="183">
        <v>204418</v>
      </c>
      <c r="B63" s="168">
        <v>20</v>
      </c>
      <c r="C63" s="169" t="s">
        <v>51</v>
      </c>
      <c r="D63" s="176">
        <v>3579511</v>
      </c>
      <c r="E63" s="184"/>
      <c r="F63" s="184"/>
      <c r="G63" s="184"/>
      <c r="H63" s="184"/>
      <c r="I63" s="184"/>
      <c r="J63" s="184"/>
      <c r="K63" s="176">
        <v>3579511</v>
      </c>
      <c r="L63" s="176">
        <v>3579511</v>
      </c>
      <c r="M63" s="185">
        <f t="shared" si="0"/>
        <v>1</v>
      </c>
    </row>
    <row r="64" spans="1:13" ht="15.75" x14ac:dyDescent="0.25">
      <c r="A64" s="183">
        <v>204420</v>
      </c>
      <c r="B64" s="168">
        <v>20</v>
      </c>
      <c r="C64" s="169" t="s">
        <v>52</v>
      </c>
      <c r="D64" s="176">
        <v>13</v>
      </c>
      <c r="E64" s="184"/>
      <c r="F64" s="184"/>
      <c r="G64" s="184"/>
      <c r="H64" s="184"/>
      <c r="I64" s="184"/>
      <c r="J64" s="184"/>
      <c r="K64" s="176">
        <v>13</v>
      </c>
      <c r="L64" s="176">
        <v>13</v>
      </c>
      <c r="M64" s="185">
        <f t="shared" si="0"/>
        <v>1</v>
      </c>
    </row>
    <row r="65" spans="1:13" ht="31.5" x14ac:dyDescent="0.25">
      <c r="A65" s="183">
        <v>204423</v>
      </c>
      <c r="B65" s="168">
        <v>20</v>
      </c>
      <c r="C65" s="169" t="s">
        <v>54</v>
      </c>
      <c r="D65" s="176">
        <v>41159</v>
      </c>
      <c r="E65" s="184"/>
      <c r="F65" s="184"/>
      <c r="G65" s="184"/>
      <c r="H65" s="184"/>
      <c r="I65" s="184"/>
      <c r="J65" s="184"/>
      <c r="K65" s="176">
        <v>41159</v>
      </c>
      <c r="L65" s="176">
        <v>41159</v>
      </c>
      <c r="M65" s="185">
        <f t="shared" si="0"/>
        <v>1</v>
      </c>
    </row>
    <row r="66" spans="1:13" ht="15.75" x14ac:dyDescent="0.25">
      <c r="A66" s="183">
        <v>2045</v>
      </c>
      <c r="B66" s="168"/>
      <c r="C66" s="169" t="s">
        <v>55</v>
      </c>
      <c r="D66" s="176">
        <f>SUM(D67:D73)</f>
        <v>655485022.85000002</v>
      </c>
      <c r="E66" s="184"/>
      <c r="F66" s="184"/>
      <c r="G66" s="184"/>
      <c r="H66" s="184"/>
      <c r="I66" s="184"/>
      <c r="J66" s="184"/>
      <c r="K66" s="176">
        <f>SUM(K67:K73)</f>
        <v>655485022.85000002</v>
      </c>
      <c r="L66" s="176">
        <f>SUM(L67:L73)</f>
        <v>655485022.85000002</v>
      </c>
      <c r="M66" s="185">
        <f t="shared" si="0"/>
        <v>1</v>
      </c>
    </row>
    <row r="67" spans="1:13" ht="31.5" x14ac:dyDescent="0.25">
      <c r="A67" s="183">
        <v>20451</v>
      </c>
      <c r="B67" s="168">
        <v>20</v>
      </c>
      <c r="C67" s="169" t="s">
        <v>56</v>
      </c>
      <c r="D67" s="176">
        <v>20008316</v>
      </c>
      <c r="E67" s="184"/>
      <c r="F67" s="184"/>
      <c r="G67" s="184"/>
      <c r="H67" s="184"/>
      <c r="I67" s="184"/>
      <c r="J67" s="184"/>
      <c r="K67" s="176">
        <v>20008316</v>
      </c>
      <c r="L67" s="176">
        <v>20008316</v>
      </c>
      <c r="M67" s="185">
        <f t="shared" si="0"/>
        <v>1</v>
      </c>
    </row>
    <row r="68" spans="1:13" ht="47.25" x14ac:dyDescent="0.25">
      <c r="A68" s="183">
        <v>20452</v>
      </c>
      <c r="B68" s="168">
        <v>20</v>
      </c>
      <c r="C68" s="169" t="s">
        <v>57</v>
      </c>
      <c r="D68" s="176">
        <v>20011648</v>
      </c>
      <c r="E68" s="184"/>
      <c r="F68" s="184"/>
      <c r="G68" s="184"/>
      <c r="H68" s="184"/>
      <c r="I68" s="184"/>
      <c r="J68" s="184"/>
      <c r="K68" s="176">
        <v>20011648</v>
      </c>
      <c r="L68" s="176">
        <v>20011648</v>
      </c>
      <c r="M68" s="185">
        <f t="shared" si="0"/>
        <v>1</v>
      </c>
    </row>
    <row r="69" spans="1:13" ht="47.25" x14ac:dyDescent="0.25">
      <c r="A69" s="183">
        <v>20455</v>
      </c>
      <c r="B69" s="168">
        <v>20</v>
      </c>
      <c r="C69" s="186" t="s">
        <v>221</v>
      </c>
      <c r="D69" s="176">
        <v>29</v>
      </c>
      <c r="E69" s="184"/>
      <c r="F69" s="184"/>
      <c r="G69" s="184"/>
      <c r="H69" s="184"/>
      <c r="I69" s="184"/>
      <c r="J69" s="184"/>
      <c r="K69" s="176">
        <v>29</v>
      </c>
      <c r="L69" s="176">
        <v>29</v>
      </c>
      <c r="M69" s="185">
        <f t="shared" si="0"/>
        <v>1</v>
      </c>
    </row>
    <row r="70" spans="1:13" ht="47.25" x14ac:dyDescent="0.25">
      <c r="A70" s="183">
        <v>20456</v>
      </c>
      <c r="B70" s="168">
        <v>20</v>
      </c>
      <c r="C70" s="169" t="s">
        <v>59</v>
      </c>
      <c r="D70" s="176">
        <v>60016974</v>
      </c>
      <c r="E70" s="184"/>
      <c r="F70" s="184"/>
      <c r="G70" s="184"/>
      <c r="H70" s="184"/>
      <c r="I70" s="184"/>
      <c r="J70" s="184"/>
      <c r="K70" s="176">
        <v>60016974</v>
      </c>
      <c r="L70" s="176">
        <v>60016974</v>
      </c>
      <c r="M70" s="185">
        <f t="shared" si="0"/>
        <v>1</v>
      </c>
    </row>
    <row r="71" spans="1:13" ht="15.75" x14ac:dyDescent="0.25">
      <c r="A71" s="183">
        <v>20458</v>
      </c>
      <c r="B71" s="168">
        <v>20</v>
      </c>
      <c r="C71" s="169" t="s">
        <v>157</v>
      </c>
      <c r="D71" s="176">
        <v>155896098.84999999</v>
      </c>
      <c r="E71" s="184"/>
      <c r="F71" s="184"/>
      <c r="G71" s="184"/>
      <c r="H71" s="184"/>
      <c r="I71" s="184"/>
      <c r="J71" s="184"/>
      <c r="K71" s="176">
        <v>155896098.84999999</v>
      </c>
      <c r="L71" s="176">
        <v>155896098.84999999</v>
      </c>
      <c r="M71" s="185">
        <f t="shared" si="0"/>
        <v>1</v>
      </c>
    </row>
    <row r="72" spans="1:13" ht="31.5" x14ac:dyDescent="0.25">
      <c r="A72" s="183">
        <v>204510</v>
      </c>
      <c r="B72" s="168">
        <v>20</v>
      </c>
      <c r="C72" s="169" t="s">
        <v>158</v>
      </c>
      <c r="D72" s="176">
        <v>379545599</v>
      </c>
      <c r="E72" s="184"/>
      <c r="F72" s="184"/>
      <c r="G72" s="184"/>
      <c r="H72" s="184"/>
      <c r="I72" s="184"/>
      <c r="J72" s="184"/>
      <c r="K72" s="176">
        <v>379545599</v>
      </c>
      <c r="L72" s="176">
        <v>379545599</v>
      </c>
      <c r="M72" s="185">
        <f t="shared" si="0"/>
        <v>1</v>
      </c>
    </row>
    <row r="73" spans="1:13" ht="31.5" x14ac:dyDescent="0.25">
      <c r="A73" s="183">
        <v>204513</v>
      </c>
      <c r="B73" s="168">
        <v>20</v>
      </c>
      <c r="C73" s="169" t="s">
        <v>61</v>
      </c>
      <c r="D73" s="176">
        <v>20006358</v>
      </c>
      <c r="E73" s="184"/>
      <c r="F73" s="184"/>
      <c r="G73" s="184"/>
      <c r="H73" s="184"/>
      <c r="I73" s="184"/>
      <c r="J73" s="184"/>
      <c r="K73" s="176">
        <v>20006358</v>
      </c>
      <c r="L73" s="176">
        <v>20006358</v>
      </c>
      <c r="M73" s="185">
        <f t="shared" si="0"/>
        <v>1</v>
      </c>
    </row>
    <row r="74" spans="1:13" ht="31.5" x14ac:dyDescent="0.25">
      <c r="A74" s="183">
        <v>2046</v>
      </c>
      <c r="B74" s="168"/>
      <c r="C74" s="169" t="s">
        <v>222</v>
      </c>
      <c r="D74" s="176">
        <f>+D75+D76+D77</f>
        <v>63561819.890000001</v>
      </c>
      <c r="E74" s="184"/>
      <c r="F74" s="184"/>
      <c r="G74" s="184"/>
      <c r="H74" s="184"/>
      <c r="I74" s="184"/>
      <c r="J74" s="184"/>
      <c r="K74" s="176">
        <f>+K76+K77+K75</f>
        <v>63561819.890000001</v>
      </c>
      <c r="L74" s="176">
        <f>+L76+L77+L75</f>
        <v>63561819.890000001</v>
      </c>
      <c r="M74" s="185">
        <f t="shared" si="0"/>
        <v>1</v>
      </c>
    </row>
    <row r="75" spans="1:13" ht="15.75" x14ac:dyDescent="0.25">
      <c r="A75" s="183">
        <v>20462</v>
      </c>
      <c r="B75" s="168">
        <v>20</v>
      </c>
      <c r="C75" s="169" t="s">
        <v>63</v>
      </c>
      <c r="D75" s="176">
        <v>386</v>
      </c>
      <c r="E75" s="184"/>
      <c r="F75" s="184"/>
      <c r="G75" s="184"/>
      <c r="H75" s="184"/>
      <c r="I75" s="184"/>
      <c r="J75" s="184"/>
      <c r="K75" s="176">
        <v>386</v>
      </c>
      <c r="L75" s="176">
        <v>386</v>
      </c>
      <c r="M75" s="185">
        <f t="shared" si="0"/>
        <v>1</v>
      </c>
    </row>
    <row r="76" spans="1:13" ht="47.25" x14ac:dyDescent="0.25">
      <c r="A76" s="183">
        <v>20465</v>
      </c>
      <c r="B76" s="168">
        <v>20</v>
      </c>
      <c r="C76" s="169" t="s">
        <v>64</v>
      </c>
      <c r="D76" s="176">
        <v>63487323.890000001</v>
      </c>
      <c r="E76" s="184"/>
      <c r="F76" s="184"/>
      <c r="G76" s="184"/>
      <c r="H76" s="184"/>
      <c r="I76" s="184"/>
      <c r="J76" s="184"/>
      <c r="K76" s="176">
        <v>63487323.890000001</v>
      </c>
      <c r="L76" s="176">
        <v>63487323.890000001</v>
      </c>
      <c r="M76" s="185">
        <f t="shared" ref="M76:M139" si="1">+L76/K76</f>
        <v>1</v>
      </c>
    </row>
    <row r="77" spans="1:13" ht="15.75" x14ac:dyDescent="0.25">
      <c r="A77" s="183">
        <v>20467</v>
      </c>
      <c r="B77" s="168">
        <v>20</v>
      </c>
      <c r="C77" s="169" t="s">
        <v>65</v>
      </c>
      <c r="D77" s="176">
        <v>74110</v>
      </c>
      <c r="E77" s="184"/>
      <c r="F77" s="184"/>
      <c r="G77" s="184"/>
      <c r="H77" s="184"/>
      <c r="I77" s="184"/>
      <c r="J77" s="184"/>
      <c r="K77" s="176">
        <v>74110</v>
      </c>
      <c r="L77" s="176">
        <v>74110</v>
      </c>
      <c r="M77" s="185">
        <f t="shared" si="1"/>
        <v>1</v>
      </c>
    </row>
    <row r="78" spans="1:13" ht="31.5" x14ac:dyDescent="0.25">
      <c r="A78" s="183">
        <v>2047</v>
      </c>
      <c r="B78" s="168"/>
      <c r="C78" s="169" t="s">
        <v>67</v>
      </c>
      <c r="D78" s="176">
        <f>+D79</f>
        <v>73603584</v>
      </c>
      <c r="E78" s="184"/>
      <c r="F78" s="184"/>
      <c r="G78" s="184"/>
      <c r="H78" s="184"/>
      <c r="I78" s="184"/>
      <c r="J78" s="184"/>
      <c r="K78" s="176">
        <f>+K79</f>
        <v>73603584</v>
      </c>
      <c r="L78" s="176">
        <f>+L79</f>
        <v>73603584</v>
      </c>
      <c r="M78" s="185">
        <f t="shared" si="1"/>
        <v>1</v>
      </c>
    </row>
    <row r="79" spans="1:13" ht="47.25" x14ac:dyDescent="0.25">
      <c r="A79" s="183">
        <v>20476</v>
      </c>
      <c r="B79" s="168">
        <v>20</v>
      </c>
      <c r="C79" s="169" t="s">
        <v>69</v>
      </c>
      <c r="D79" s="176">
        <v>73603584</v>
      </c>
      <c r="E79" s="184"/>
      <c r="F79" s="184"/>
      <c r="G79" s="184"/>
      <c r="H79" s="184"/>
      <c r="I79" s="184"/>
      <c r="J79" s="184"/>
      <c r="K79" s="176">
        <v>73603584</v>
      </c>
      <c r="L79" s="176">
        <v>73603584</v>
      </c>
      <c r="M79" s="185">
        <f t="shared" si="1"/>
        <v>1</v>
      </c>
    </row>
    <row r="80" spans="1:13" ht="15.75" x14ac:dyDescent="0.25">
      <c r="A80" s="183">
        <v>2048</v>
      </c>
      <c r="B80" s="168"/>
      <c r="C80" s="169" t="s">
        <v>70</v>
      </c>
      <c r="D80" s="176">
        <f>SUM(D81:D84)</f>
        <v>274584797.77999997</v>
      </c>
      <c r="E80" s="184"/>
      <c r="F80" s="184"/>
      <c r="G80" s="184"/>
      <c r="H80" s="184"/>
      <c r="I80" s="184"/>
      <c r="J80" s="184"/>
      <c r="K80" s="176">
        <f>SUM(K81:K84)</f>
        <v>274584797.77999997</v>
      </c>
      <c r="L80" s="176">
        <f>SUM(L81:L84)</f>
        <v>274584797.77999997</v>
      </c>
      <c r="M80" s="185">
        <f t="shared" si="1"/>
        <v>1</v>
      </c>
    </row>
    <row r="81" spans="1:13" ht="31.5" x14ac:dyDescent="0.25">
      <c r="A81" s="183">
        <v>20481</v>
      </c>
      <c r="B81" s="168">
        <v>20</v>
      </c>
      <c r="C81" s="169" t="s">
        <v>71</v>
      </c>
      <c r="D81" s="176">
        <v>2575797</v>
      </c>
      <c r="E81" s="184"/>
      <c r="F81" s="184"/>
      <c r="G81" s="184"/>
      <c r="H81" s="184"/>
      <c r="I81" s="184"/>
      <c r="J81" s="184"/>
      <c r="K81" s="176">
        <v>2575797</v>
      </c>
      <c r="L81" s="176">
        <v>2575797</v>
      </c>
      <c r="M81" s="185">
        <f t="shared" si="1"/>
        <v>1</v>
      </c>
    </row>
    <row r="82" spans="1:13" ht="15.75" x14ac:dyDescent="0.25">
      <c r="A82" s="183">
        <v>20482</v>
      </c>
      <c r="B82" s="168">
        <v>20</v>
      </c>
      <c r="C82" s="169" t="s">
        <v>72</v>
      </c>
      <c r="D82" s="176">
        <v>227491255</v>
      </c>
      <c r="E82" s="184"/>
      <c r="F82" s="184"/>
      <c r="G82" s="184"/>
      <c r="H82" s="184"/>
      <c r="I82" s="184"/>
      <c r="J82" s="184"/>
      <c r="K82" s="176">
        <v>227491255</v>
      </c>
      <c r="L82" s="176">
        <v>227491255</v>
      </c>
      <c r="M82" s="185">
        <f t="shared" si="1"/>
        <v>1</v>
      </c>
    </row>
    <row r="83" spans="1:13" ht="15.75" x14ac:dyDescent="0.25">
      <c r="A83" s="183">
        <v>20485</v>
      </c>
      <c r="B83" s="168">
        <v>20</v>
      </c>
      <c r="C83" s="169" t="s">
        <v>73</v>
      </c>
      <c r="D83" s="176">
        <v>15263981.779999999</v>
      </c>
      <c r="E83" s="184"/>
      <c r="F83" s="184"/>
      <c r="G83" s="184"/>
      <c r="H83" s="184"/>
      <c r="I83" s="184"/>
      <c r="J83" s="184"/>
      <c r="K83" s="176">
        <v>15263981.779999999</v>
      </c>
      <c r="L83" s="176">
        <v>15263981.779999999</v>
      </c>
      <c r="M83" s="185">
        <f t="shared" si="1"/>
        <v>1</v>
      </c>
    </row>
    <row r="84" spans="1:13" ht="15.75" x14ac:dyDescent="0.25">
      <c r="A84" s="183">
        <v>20486</v>
      </c>
      <c r="B84" s="168">
        <v>20</v>
      </c>
      <c r="C84" s="169" t="s">
        <v>74</v>
      </c>
      <c r="D84" s="176">
        <v>29253764</v>
      </c>
      <c r="E84" s="184"/>
      <c r="F84" s="184"/>
      <c r="G84" s="184"/>
      <c r="H84" s="184"/>
      <c r="I84" s="184"/>
      <c r="J84" s="184"/>
      <c r="K84" s="176">
        <v>29253764</v>
      </c>
      <c r="L84" s="176">
        <v>29253764</v>
      </c>
      <c r="M84" s="185">
        <f t="shared" si="1"/>
        <v>1</v>
      </c>
    </row>
    <row r="85" spans="1:13" ht="15.75" x14ac:dyDescent="0.25">
      <c r="A85" s="183">
        <v>2049</v>
      </c>
      <c r="B85" s="168"/>
      <c r="C85" s="169" t="s">
        <v>75</v>
      </c>
      <c r="D85" s="176">
        <f>SUM(D86:D88)</f>
        <v>1013420426.15</v>
      </c>
      <c r="E85" s="184"/>
      <c r="F85" s="184"/>
      <c r="G85" s="184"/>
      <c r="H85" s="184"/>
      <c r="I85" s="184"/>
      <c r="J85" s="184"/>
      <c r="K85" s="176">
        <f>SUM(K86:K88)</f>
        <v>1013420426.15</v>
      </c>
      <c r="L85" s="176">
        <f>SUM(L86:L88)</f>
        <v>1013420426.15</v>
      </c>
      <c r="M85" s="185">
        <f t="shared" si="1"/>
        <v>1</v>
      </c>
    </row>
    <row r="86" spans="1:13" ht="31.5" x14ac:dyDescent="0.25">
      <c r="A86" s="183">
        <v>20495</v>
      </c>
      <c r="B86" s="168">
        <v>20</v>
      </c>
      <c r="C86" s="169" t="s">
        <v>76</v>
      </c>
      <c r="D86" s="176">
        <v>10511123</v>
      </c>
      <c r="E86" s="184"/>
      <c r="F86" s="184"/>
      <c r="G86" s="184"/>
      <c r="H86" s="184"/>
      <c r="I86" s="184"/>
      <c r="J86" s="184"/>
      <c r="K86" s="176">
        <v>10511123</v>
      </c>
      <c r="L86" s="176">
        <v>10511123</v>
      </c>
      <c r="M86" s="185">
        <f t="shared" si="1"/>
        <v>1</v>
      </c>
    </row>
    <row r="87" spans="1:13" ht="15.75" x14ac:dyDescent="0.25">
      <c r="A87" s="183">
        <v>204911</v>
      </c>
      <c r="B87" s="168">
        <v>20</v>
      </c>
      <c r="C87" s="169" t="s">
        <v>77</v>
      </c>
      <c r="D87" s="176">
        <v>106792673</v>
      </c>
      <c r="E87" s="184"/>
      <c r="F87" s="184"/>
      <c r="G87" s="184"/>
      <c r="H87" s="184"/>
      <c r="I87" s="184"/>
      <c r="J87" s="184"/>
      <c r="K87" s="176">
        <v>106792673</v>
      </c>
      <c r="L87" s="176">
        <v>106792673</v>
      </c>
      <c r="M87" s="185">
        <f t="shared" si="1"/>
        <v>1</v>
      </c>
    </row>
    <row r="88" spans="1:13" ht="15.75" x14ac:dyDescent="0.25">
      <c r="A88" s="183">
        <v>204913</v>
      </c>
      <c r="B88" s="168">
        <v>20</v>
      </c>
      <c r="C88" s="169" t="s">
        <v>78</v>
      </c>
      <c r="D88" s="176">
        <v>896116630.14999998</v>
      </c>
      <c r="E88" s="184"/>
      <c r="F88" s="184"/>
      <c r="G88" s="184"/>
      <c r="H88" s="184"/>
      <c r="I88" s="184"/>
      <c r="J88" s="184"/>
      <c r="K88" s="176">
        <v>896116630.14999998</v>
      </c>
      <c r="L88" s="176">
        <v>896116630.14999998</v>
      </c>
      <c r="M88" s="185">
        <f t="shared" si="1"/>
        <v>1</v>
      </c>
    </row>
    <row r="89" spans="1:13" ht="15.75" x14ac:dyDescent="0.25">
      <c r="A89" s="183">
        <v>20410</v>
      </c>
      <c r="B89" s="168"/>
      <c r="C89" s="169" t="s">
        <v>79</v>
      </c>
      <c r="D89" s="176">
        <f>+D90</f>
        <v>5120125000</v>
      </c>
      <c r="E89" s="184"/>
      <c r="F89" s="184"/>
      <c r="G89" s="184"/>
      <c r="H89" s="184"/>
      <c r="I89" s="184"/>
      <c r="J89" s="184"/>
      <c r="K89" s="176">
        <f>+K90</f>
        <v>5120125000</v>
      </c>
      <c r="L89" s="176">
        <f>+L90</f>
        <v>5120125000</v>
      </c>
      <c r="M89" s="185">
        <f t="shared" si="1"/>
        <v>1</v>
      </c>
    </row>
    <row r="90" spans="1:13" ht="31.5" x14ac:dyDescent="0.25">
      <c r="A90" s="183">
        <v>204102</v>
      </c>
      <c r="B90" s="168">
        <v>20</v>
      </c>
      <c r="C90" s="169" t="s">
        <v>80</v>
      </c>
      <c r="D90" s="176">
        <v>5120125000</v>
      </c>
      <c r="E90" s="184"/>
      <c r="F90" s="184"/>
      <c r="G90" s="184"/>
      <c r="H90" s="184"/>
      <c r="I90" s="184"/>
      <c r="J90" s="184"/>
      <c r="K90" s="176">
        <v>5120125000</v>
      </c>
      <c r="L90" s="176">
        <v>5120125000</v>
      </c>
      <c r="M90" s="185">
        <f t="shared" si="1"/>
        <v>1</v>
      </c>
    </row>
    <row r="91" spans="1:13" ht="31.5" x14ac:dyDescent="0.25">
      <c r="A91" s="183">
        <v>20411</v>
      </c>
      <c r="B91" s="168"/>
      <c r="C91" s="169" t="s">
        <v>81</v>
      </c>
      <c r="D91" s="176">
        <f>+D92+D93</f>
        <v>48500231</v>
      </c>
      <c r="E91" s="184"/>
      <c r="F91" s="184"/>
      <c r="G91" s="184"/>
      <c r="H91" s="184"/>
      <c r="I91" s="184"/>
      <c r="J91" s="184"/>
      <c r="K91" s="176">
        <f>+K92+K93</f>
        <v>48500231</v>
      </c>
      <c r="L91" s="176">
        <f>+L92+L93</f>
        <v>48500231</v>
      </c>
      <c r="M91" s="185">
        <f t="shared" si="1"/>
        <v>1</v>
      </c>
    </row>
    <row r="92" spans="1:13" ht="31.5" x14ac:dyDescent="0.25">
      <c r="A92" s="183">
        <v>204111</v>
      </c>
      <c r="B92" s="168">
        <v>20</v>
      </c>
      <c r="C92" s="169" t="s">
        <v>82</v>
      </c>
      <c r="D92" s="176">
        <v>30698851</v>
      </c>
      <c r="E92" s="184"/>
      <c r="F92" s="184"/>
      <c r="G92" s="184"/>
      <c r="H92" s="184"/>
      <c r="I92" s="184"/>
      <c r="J92" s="184"/>
      <c r="K92" s="176">
        <v>30698851</v>
      </c>
      <c r="L92" s="176">
        <v>30698851</v>
      </c>
      <c r="M92" s="185">
        <f t="shared" si="1"/>
        <v>1</v>
      </c>
    </row>
    <row r="93" spans="1:13" ht="31.5" x14ac:dyDescent="0.25">
      <c r="A93" s="183">
        <v>204112</v>
      </c>
      <c r="B93" s="168">
        <v>20</v>
      </c>
      <c r="C93" s="169" t="s">
        <v>83</v>
      </c>
      <c r="D93" s="176">
        <v>17801380</v>
      </c>
      <c r="E93" s="184"/>
      <c r="F93" s="184"/>
      <c r="G93" s="184"/>
      <c r="H93" s="184"/>
      <c r="I93" s="184"/>
      <c r="J93" s="184"/>
      <c r="K93" s="176">
        <v>17801380</v>
      </c>
      <c r="L93" s="176">
        <v>17801380</v>
      </c>
      <c r="M93" s="185">
        <f t="shared" si="1"/>
        <v>1</v>
      </c>
    </row>
    <row r="94" spans="1:13" ht="15.75" x14ac:dyDescent="0.25">
      <c r="A94" s="183">
        <v>20414</v>
      </c>
      <c r="B94" s="168">
        <v>20</v>
      </c>
      <c r="C94" s="169" t="s">
        <v>84</v>
      </c>
      <c r="D94" s="176">
        <v>3993324.8</v>
      </c>
      <c r="E94" s="184"/>
      <c r="F94" s="184"/>
      <c r="G94" s="184"/>
      <c r="H94" s="184"/>
      <c r="I94" s="184"/>
      <c r="J94" s="184"/>
      <c r="K94" s="176">
        <v>3993324.8</v>
      </c>
      <c r="L94" s="176">
        <v>3993324.8</v>
      </c>
      <c r="M94" s="185">
        <f t="shared" si="1"/>
        <v>1</v>
      </c>
    </row>
    <row r="95" spans="1:13" ht="31.5" x14ac:dyDescent="0.25">
      <c r="A95" s="183">
        <v>20421</v>
      </c>
      <c r="B95" s="168"/>
      <c r="C95" s="169" t="s">
        <v>85</v>
      </c>
      <c r="D95" s="176">
        <f>SUM(D96:D98)</f>
        <v>241015004</v>
      </c>
      <c r="E95" s="184"/>
      <c r="F95" s="184"/>
      <c r="G95" s="184"/>
      <c r="H95" s="184"/>
      <c r="I95" s="184"/>
      <c r="J95" s="184"/>
      <c r="K95" s="176">
        <f>SUM(K96:K98)</f>
        <v>241015004</v>
      </c>
      <c r="L95" s="176">
        <f>SUM(L96:L98)</f>
        <v>241015004</v>
      </c>
      <c r="M95" s="185">
        <f t="shared" si="1"/>
        <v>1</v>
      </c>
    </row>
    <row r="96" spans="1:13" ht="31.5" x14ac:dyDescent="0.25">
      <c r="A96" s="183">
        <v>204213</v>
      </c>
      <c r="B96" s="168">
        <v>20</v>
      </c>
      <c r="C96" s="169" t="s">
        <v>223</v>
      </c>
      <c r="D96" s="176">
        <v>0</v>
      </c>
      <c r="E96" s="184"/>
      <c r="F96" s="184"/>
      <c r="G96" s="184"/>
      <c r="H96" s="184"/>
      <c r="I96" s="184"/>
      <c r="J96" s="184"/>
      <c r="K96" s="176">
        <v>0</v>
      </c>
      <c r="L96" s="176">
        <v>0</v>
      </c>
      <c r="M96" s="185">
        <v>0</v>
      </c>
    </row>
    <row r="97" spans="1:13" ht="31.5" x14ac:dyDescent="0.25">
      <c r="A97" s="183">
        <v>204214</v>
      </c>
      <c r="B97" s="168">
        <v>20</v>
      </c>
      <c r="C97" s="169" t="s">
        <v>86</v>
      </c>
      <c r="D97" s="176">
        <v>197143092</v>
      </c>
      <c r="E97" s="184"/>
      <c r="F97" s="184"/>
      <c r="G97" s="184"/>
      <c r="H97" s="184"/>
      <c r="I97" s="184"/>
      <c r="J97" s="184"/>
      <c r="K97" s="176">
        <v>197143092</v>
      </c>
      <c r="L97" s="176">
        <v>197143092</v>
      </c>
      <c r="M97" s="185">
        <f t="shared" si="1"/>
        <v>1</v>
      </c>
    </row>
    <row r="98" spans="1:13" ht="31.5" x14ac:dyDescent="0.25">
      <c r="A98" s="183">
        <v>204215</v>
      </c>
      <c r="B98" s="168">
        <v>20</v>
      </c>
      <c r="C98" s="169" t="s">
        <v>140</v>
      </c>
      <c r="D98" s="176">
        <v>43871912</v>
      </c>
      <c r="E98" s="184"/>
      <c r="F98" s="184"/>
      <c r="G98" s="184"/>
      <c r="H98" s="184"/>
      <c r="I98" s="184"/>
      <c r="J98" s="184"/>
      <c r="K98" s="176">
        <v>43871912</v>
      </c>
      <c r="L98" s="176">
        <v>43871912</v>
      </c>
      <c r="M98" s="185">
        <f t="shared" si="1"/>
        <v>1</v>
      </c>
    </row>
    <row r="99" spans="1:13" ht="31.5" x14ac:dyDescent="0.25">
      <c r="A99" s="183">
        <v>20441</v>
      </c>
      <c r="B99" s="168"/>
      <c r="C99" s="169" t="s">
        <v>87</v>
      </c>
      <c r="D99" s="176">
        <f>+D100</f>
        <v>876825242.35000002</v>
      </c>
      <c r="E99" s="184"/>
      <c r="F99" s="184"/>
      <c r="G99" s="184"/>
      <c r="H99" s="184"/>
      <c r="I99" s="184"/>
      <c r="J99" s="184"/>
      <c r="K99" s="176">
        <f>+K100</f>
        <v>876825242.35000002</v>
      </c>
      <c r="L99" s="176">
        <f>+L100</f>
        <v>876825242.35000002</v>
      </c>
      <c r="M99" s="185">
        <f t="shared" si="1"/>
        <v>1</v>
      </c>
    </row>
    <row r="100" spans="1:13" ht="31.5" x14ac:dyDescent="0.25">
      <c r="A100" s="183">
        <v>2044113</v>
      </c>
      <c r="B100" s="168">
        <v>20</v>
      </c>
      <c r="C100" s="169" t="s">
        <v>87</v>
      </c>
      <c r="D100" s="176">
        <v>876825242.35000002</v>
      </c>
      <c r="E100" s="184"/>
      <c r="F100" s="184"/>
      <c r="G100" s="184"/>
      <c r="H100" s="184"/>
      <c r="I100" s="184"/>
      <c r="J100" s="184"/>
      <c r="K100" s="176">
        <v>876825242.35000002</v>
      </c>
      <c r="L100" s="176">
        <v>876825242.35000002</v>
      </c>
      <c r="M100" s="185">
        <f t="shared" si="1"/>
        <v>1</v>
      </c>
    </row>
    <row r="101" spans="1:13" ht="31.5" x14ac:dyDescent="0.25">
      <c r="A101" s="183">
        <v>3</v>
      </c>
      <c r="B101" s="168"/>
      <c r="C101" s="169" t="s">
        <v>88</v>
      </c>
      <c r="D101" s="176">
        <f>+D102+D105</f>
        <v>10148771124</v>
      </c>
      <c r="E101" s="184"/>
      <c r="F101" s="184"/>
      <c r="G101" s="184"/>
      <c r="H101" s="184"/>
      <c r="I101" s="184"/>
      <c r="J101" s="184"/>
      <c r="K101" s="176">
        <f>+K102+K105</f>
        <v>10148771124</v>
      </c>
      <c r="L101" s="176">
        <f>+L102+L105</f>
        <v>10148771124</v>
      </c>
      <c r="M101" s="185">
        <f t="shared" si="1"/>
        <v>1</v>
      </c>
    </row>
    <row r="102" spans="1:13" ht="31.5" x14ac:dyDescent="0.25">
      <c r="A102" s="183">
        <v>32</v>
      </c>
      <c r="B102" s="168"/>
      <c r="C102" s="169" t="s">
        <v>89</v>
      </c>
      <c r="D102" s="176">
        <f t="shared" ref="D102:D103" si="2">+D103</f>
        <v>3811953343</v>
      </c>
      <c r="E102" s="184"/>
      <c r="F102" s="184"/>
      <c r="G102" s="184"/>
      <c r="H102" s="184"/>
      <c r="I102" s="184"/>
      <c r="J102" s="184"/>
      <c r="K102" s="176">
        <f t="shared" ref="K102:K103" si="3">+K103</f>
        <v>3811953343</v>
      </c>
      <c r="L102" s="176">
        <f t="shared" ref="L102:L103" si="4">+L103</f>
        <v>3811953343</v>
      </c>
      <c r="M102" s="185">
        <f t="shared" si="1"/>
        <v>1</v>
      </c>
    </row>
    <row r="103" spans="1:13" ht="15.75" x14ac:dyDescent="0.25">
      <c r="A103" s="183">
        <v>321</v>
      </c>
      <c r="B103" s="168"/>
      <c r="C103" s="169" t="s">
        <v>90</v>
      </c>
      <c r="D103" s="176">
        <f t="shared" si="2"/>
        <v>3811953343</v>
      </c>
      <c r="E103" s="184"/>
      <c r="F103" s="184"/>
      <c r="G103" s="184"/>
      <c r="H103" s="184"/>
      <c r="I103" s="184"/>
      <c r="J103" s="184"/>
      <c r="K103" s="176">
        <f t="shared" si="3"/>
        <v>3811953343</v>
      </c>
      <c r="L103" s="176">
        <f t="shared" si="4"/>
        <v>3811953343</v>
      </c>
      <c r="M103" s="185">
        <f t="shared" si="1"/>
        <v>1</v>
      </c>
    </row>
    <row r="104" spans="1:13" ht="31.5" x14ac:dyDescent="0.25">
      <c r="A104" s="183">
        <v>3211</v>
      </c>
      <c r="B104" s="168">
        <v>20</v>
      </c>
      <c r="C104" s="169" t="s">
        <v>91</v>
      </c>
      <c r="D104" s="176">
        <v>3811953343</v>
      </c>
      <c r="E104" s="184"/>
      <c r="F104" s="184"/>
      <c r="G104" s="184"/>
      <c r="H104" s="184"/>
      <c r="I104" s="184"/>
      <c r="J104" s="184"/>
      <c r="K104" s="176">
        <v>3811953343</v>
      </c>
      <c r="L104" s="176">
        <v>3811953343</v>
      </c>
      <c r="M104" s="185">
        <f t="shared" si="1"/>
        <v>1</v>
      </c>
    </row>
    <row r="105" spans="1:13" ht="15.75" x14ac:dyDescent="0.25">
      <c r="A105" s="183">
        <v>36</v>
      </c>
      <c r="B105" s="168"/>
      <c r="C105" s="169" t="s">
        <v>92</v>
      </c>
      <c r="D105" s="176">
        <f>+D106</f>
        <v>6336817781</v>
      </c>
      <c r="E105" s="184"/>
      <c r="F105" s="184"/>
      <c r="G105" s="184"/>
      <c r="H105" s="184"/>
      <c r="I105" s="184"/>
      <c r="J105" s="184"/>
      <c r="K105" s="176">
        <f>+K106</f>
        <v>6336817781</v>
      </c>
      <c r="L105" s="176">
        <f>+L106</f>
        <v>6336817781</v>
      </c>
      <c r="M105" s="185">
        <f t="shared" si="1"/>
        <v>1</v>
      </c>
    </row>
    <row r="106" spans="1:13" ht="31.5" x14ac:dyDescent="0.25">
      <c r="A106" s="183">
        <v>361</v>
      </c>
      <c r="B106" s="168"/>
      <c r="C106" s="169" t="s">
        <v>93</v>
      </c>
      <c r="D106" s="178">
        <f>+D107+D108</f>
        <v>6336817781</v>
      </c>
      <c r="E106" s="184"/>
      <c r="F106" s="184"/>
      <c r="G106" s="184"/>
      <c r="H106" s="184"/>
      <c r="I106" s="184"/>
      <c r="J106" s="184"/>
      <c r="K106" s="178">
        <f>+K107+K108</f>
        <v>6336817781</v>
      </c>
      <c r="L106" s="178">
        <f>+L107+L108</f>
        <v>6336817781</v>
      </c>
      <c r="M106" s="185">
        <f t="shared" si="1"/>
        <v>1</v>
      </c>
    </row>
    <row r="107" spans="1:13" ht="31.5" x14ac:dyDescent="0.25">
      <c r="A107" s="183">
        <v>3611</v>
      </c>
      <c r="B107" s="168">
        <v>10</v>
      </c>
      <c r="C107" s="169" t="s">
        <v>93</v>
      </c>
      <c r="D107" s="178">
        <f>+D109+D110+D111</f>
        <v>2013993633</v>
      </c>
      <c r="E107" s="184"/>
      <c r="F107" s="184"/>
      <c r="G107" s="184"/>
      <c r="H107" s="184"/>
      <c r="I107" s="184"/>
      <c r="J107" s="184"/>
      <c r="K107" s="178">
        <f>+K111+K110</f>
        <v>2013993633</v>
      </c>
      <c r="L107" s="178">
        <f>+L111+L110</f>
        <v>2013993633</v>
      </c>
      <c r="M107" s="185">
        <f t="shared" si="1"/>
        <v>1</v>
      </c>
    </row>
    <row r="108" spans="1:13" ht="31.5" x14ac:dyDescent="0.25">
      <c r="A108" s="183">
        <v>3611</v>
      </c>
      <c r="B108" s="168">
        <v>20</v>
      </c>
      <c r="C108" s="169" t="s">
        <v>93</v>
      </c>
      <c r="D108" s="178">
        <f>+D112</f>
        <v>4322824148</v>
      </c>
      <c r="E108" s="184"/>
      <c r="F108" s="184"/>
      <c r="G108" s="184"/>
      <c r="H108" s="184"/>
      <c r="I108" s="184"/>
      <c r="J108" s="184"/>
      <c r="K108" s="178">
        <f>+K109+K112</f>
        <v>4322824148</v>
      </c>
      <c r="L108" s="178">
        <f>+L109+L112</f>
        <v>4322824148</v>
      </c>
      <c r="M108" s="185">
        <f t="shared" si="1"/>
        <v>1</v>
      </c>
    </row>
    <row r="109" spans="1:13" ht="15.75" x14ac:dyDescent="0.25">
      <c r="A109" s="183">
        <v>36111</v>
      </c>
      <c r="B109" s="168">
        <v>10</v>
      </c>
      <c r="C109" s="169" t="s">
        <v>224</v>
      </c>
      <c r="D109" s="178">
        <v>0</v>
      </c>
      <c r="E109" s="184"/>
      <c r="F109" s="184"/>
      <c r="G109" s="184"/>
      <c r="H109" s="184"/>
      <c r="I109" s="184"/>
      <c r="J109" s="184"/>
      <c r="K109" s="178">
        <v>0</v>
      </c>
      <c r="L109" s="178">
        <v>0</v>
      </c>
      <c r="M109" s="185">
        <v>0</v>
      </c>
    </row>
    <row r="110" spans="1:13" ht="15.75" x14ac:dyDescent="0.25">
      <c r="A110" s="183">
        <v>36112</v>
      </c>
      <c r="B110" s="168">
        <v>10</v>
      </c>
      <c r="C110" s="169" t="s">
        <v>225</v>
      </c>
      <c r="D110" s="178">
        <v>403313594.17000002</v>
      </c>
      <c r="E110" s="184"/>
      <c r="F110" s="184"/>
      <c r="G110" s="184"/>
      <c r="H110" s="184"/>
      <c r="I110" s="184"/>
      <c r="J110" s="184"/>
      <c r="K110" s="178">
        <v>403313594.17000002</v>
      </c>
      <c r="L110" s="178">
        <v>403313594.17000002</v>
      </c>
      <c r="M110" s="185">
        <f t="shared" si="1"/>
        <v>1</v>
      </c>
    </row>
    <row r="111" spans="1:13" ht="15.75" x14ac:dyDescent="0.25">
      <c r="A111" s="183">
        <v>36113</v>
      </c>
      <c r="B111" s="168">
        <v>10</v>
      </c>
      <c r="C111" s="169" t="s">
        <v>226</v>
      </c>
      <c r="D111" s="178">
        <v>1610680038.8299999</v>
      </c>
      <c r="E111" s="184"/>
      <c r="F111" s="184"/>
      <c r="G111" s="184"/>
      <c r="H111" s="184"/>
      <c r="I111" s="184"/>
      <c r="J111" s="184"/>
      <c r="K111" s="178">
        <v>1610680038.8299999</v>
      </c>
      <c r="L111" s="178">
        <v>1610680038.8299999</v>
      </c>
      <c r="M111" s="185">
        <f t="shared" si="1"/>
        <v>1</v>
      </c>
    </row>
    <row r="112" spans="1:13" ht="15.75" x14ac:dyDescent="0.25">
      <c r="A112" s="183">
        <v>36113</v>
      </c>
      <c r="B112" s="168">
        <v>20</v>
      </c>
      <c r="C112" s="169" t="s">
        <v>226</v>
      </c>
      <c r="D112" s="178">
        <v>4322824148</v>
      </c>
      <c r="E112" s="184"/>
      <c r="F112" s="184"/>
      <c r="G112" s="184"/>
      <c r="H112" s="184"/>
      <c r="I112" s="184"/>
      <c r="J112" s="184"/>
      <c r="K112" s="178">
        <v>4322824148</v>
      </c>
      <c r="L112" s="178">
        <v>4322824148</v>
      </c>
      <c r="M112" s="185">
        <f t="shared" si="1"/>
        <v>1</v>
      </c>
    </row>
    <row r="113" spans="1:13" ht="31.5" x14ac:dyDescent="0.25">
      <c r="A113" s="187" t="s">
        <v>96</v>
      </c>
      <c r="B113" s="188"/>
      <c r="C113" s="189" t="s">
        <v>97</v>
      </c>
      <c r="D113" s="190">
        <f>+D114</f>
        <v>824041891236</v>
      </c>
      <c r="E113" s="184"/>
      <c r="F113" s="184"/>
      <c r="G113" s="184"/>
      <c r="H113" s="184"/>
      <c r="I113" s="184"/>
      <c r="J113" s="184"/>
      <c r="K113" s="190">
        <f t="shared" ref="K113:K115" si="5">+K114</f>
        <v>824041891235.57007</v>
      </c>
      <c r="L113" s="190">
        <f t="shared" ref="L113:L115" si="6">+L114</f>
        <v>824041891235.57007</v>
      </c>
      <c r="M113" s="185">
        <f t="shared" si="1"/>
        <v>1</v>
      </c>
    </row>
    <row r="114" spans="1:13" ht="31.5" x14ac:dyDescent="0.25">
      <c r="A114" s="183">
        <v>7</v>
      </c>
      <c r="B114" s="168"/>
      <c r="C114" s="169" t="s">
        <v>97</v>
      </c>
      <c r="D114" s="178">
        <f>+D115</f>
        <v>824041891236</v>
      </c>
      <c r="E114" s="184"/>
      <c r="F114" s="184"/>
      <c r="G114" s="184"/>
      <c r="H114" s="184"/>
      <c r="I114" s="184"/>
      <c r="J114" s="184"/>
      <c r="K114" s="178">
        <f t="shared" si="5"/>
        <v>824041891235.57007</v>
      </c>
      <c r="L114" s="178">
        <f t="shared" si="6"/>
        <v>824041891235.57007</v>
      </c>
      <c r="M114" s="185">
        <f t="shared" si="1"/>
        <v>1</v>
      </c>
    </row>
    <row r="115" spans="1:13" ht="31.5" x14ac:dyDescent="0.25">
      <c r="A115" s="183">
        <v>71</v>
      </c>
      <c r="B115" s="168"/>
      <c r="C115" s="169" t="s">
        <v>98</v>
      </c>
      <c r="D115" s="178">
        <f>+D116</f>
        <v>824041891236</v>
      </c>
      <c r="E115" s="184"/>
      <c r="F115" s="184"/>
      <c r="G115" s="184"/>
      <c r="H115" s="184"/>
      <c r="I115" s="184"/>
      <c r="J115" s="184"/>
      <c r="K115" s="178">
        <f t="shared" si="5"/>
        <v>824041891235.57007</v>
      </c>
      <c r="L115" s="178">
        <f t="shared" si="6"/>
        <v>824041891235.57007</v>
      </c>
      <c r="M115" s="185">
        <f t="shared" si="1"/>
        <v>1</v>
      </c>
    </row>
    <row r="116" spans="1:13" ht="15.75" x14ac:dyDescent="0.25">
      <c r="A116" s="183">
        <v>711</v>
      </c>
      <c r="B116" s="168">
        <v>11</v>
      </c>
      <c r="C116" s="169" t="s">
        <v>99</v>
      </c>
      <c r="D116" s="178">
        <f>735949262360+88092628876</f>
        <v>824041891236</v>
      </c>
      <c r="E116" s="184"/>
      <c r="F116" s="184"/>
      <c r="G116" s="184"/>
      <c r="H116" s="184"/>
      <c r="I116" s="184"/>
      <c r="J116" s="184"/>
      <c r="K116" s="178">
        <f>735949262360+88092628875.57</f>
        <v>824041891235.57007</v>
      </c>
      <c r="L116" s="178">
        <f>735949262360+88092628875.57</f>
        <v>824041891235.57007</v>
      </c>
      <c r="M116" s="185">
        <f t="shared" si="1"/>
        <v>1</v>
      </c>
    </row>
    <row r="117" spans="1:13" ht="15.75" x14ac:dyDescent="0.25">
      <c r="A117" s="187" t="s">
        <v>100</v>
      </c>
      <c r="B117" s="188"/>
      <c r="C117" s="189" t="s">
        <v>101</v>
      </c>
      <c r="D117" s="190">
        <f>+D118+D144+D149+D152</f>
        <v>1572456523605</v>
      </c>
      <c r="E117" s="184"/>
      <c r="F117" s="184"/>
      <c r="G117" s="184"/>
      <c r="H117" s="184"/>
      <c r="I117" s="184"/>
      <c r="J117" s="184"/>
      <c r="K117" s="190">
        <f>+K118+K144+K149+K152</f>
        <v>1536227954854.8301</v>
      </c>
      <c r="L117" s="190">
        <f>+L118+L144+L149+L152</f>
        <v>1536227954854.8301</v>
      </c>
      <c r="M117" s="185">
        <f t="shared" si="1"/>
        <v>1</v>
      </c>
    </row>
    <row r="118" spans="1:13" ht="31.5" x14ac:dyDescent="0.25">
      <c r="A118" s="183">
        <v>2401</v>
      </c>
      <c r="B118" s="168"/>
      <c r="C118" s="169" t="s">
        <v>227</v>
      </c>
      <c r="D118" s="176">
        <f>+D119</f>
        <v>1393744026498</v>
      </c>
      <c r="E118" s="184"/>
      <c r="F118" s="184"/>
      <c r="G118" s="184"/>
      <c r="H118" s="184"/>
      <c r="I118" s="184"/>
      <c r="J118" s="184"/>
      <c r="K118" s="176">
        <f>+K119</f>
        <v>1363333380005.97</v>
      </c>
      <c r="L118" s="176">
        <f>+L119</f>
        <v>1363333380005.97</v>
      </c>
      <c r="M118" s="185">
        <f t="shared" si="1"/>
        <v>1</v>
      </c>
    </row>
    <row r="119" spans="1:13" ht="31.5" x14ac:dyDescent="0.25">
      <c r="A119" s="183">
        <v>24010600</v>
      </c>
      <c r="B119" s="168"/>
      <c r="C119" s="169" t="s">
        <v>103</v>
      </c>
      <c r="D119" s="176">
        <f>+D120+D121+D122+D123+D124+D125+D126+D127+D128+D129+D130+D131+D132+D133+D134+D135+D136+D137+D138+D139+D140+D141+D142+D143</f>
        <v>1393744026498</v>
      </c>
      <c r="E119" s="184"/>
      <c r="F119" s="184"/>
      <c r="G119" s="184"/>
      <c r="H119" s="184"/>
      <c r="I119" s="184"/>
      <c r="J119" s="184"/>
      <c r="K119" s="176">
        <f>+K120+K121+K122+K123+K124+K125+K126+K127+K128+K129+K130+K131+K132+K133+K134+K135+K136+K137+K138+K139+K140+K141+K142+K143</f>
        <v>1363333380005.97</v>
      </c>
      <c r="L119" s="176">
        <f>+L120+L121+L122+L123+L124+L125+L126+L127+L128+L129+L130+L131+L132+L133+L134+L135+L136+L137+L138+L139+L140+L141+L142+L143</f>
        <v>1363333380005.97</v>
      </c>
      <c r="M119" s="185">
        <f t="shared" si="1"/>
        <v>1</v>
      </c>
    </row>
    <row r="120" spans="1:13" ht="47.25" x14ac:dyDescent="0.25">
      <c r="A120" s="183">
        <v>240106001</v>
      </c>
      <c r="B120" s="168">
        <v>11</v>
      </c>
      <c r="C120" s="169" t="s">
        <v>104</v>
      </c>
      <c r="D120" s="176">
        <v>138986000000</v>
      </c>
      <c r="E120" s="184"/>
      <c r="F120" s="184"/>
      <c r="G120" s="184"/>
      <c r="H120" s="184"/>
      <c r="I120" s="184"/>
      <c r="J120" s="184"/>
      <c r="K120" s="176">
        <v>138986000000</v>
      </c>
      <c r="L120" s="176">
        <v>138986000000</v>
      </c>
      <c r="M120" s="185">
        <f t="shared" si="1"/>
        <v>1</v>
      </c>
    </row>
    <row r="121" spans="1:13" ht="47.25" x14ac:dyDescent="0.25">
      <c r="A121" s="183">
        <v>240106001</v>
      </c>
      <c r="B121" s="168">
        <v>20</v>
      </c>
      <c r="C121" s="169" t="s">
        <v>104</v>
      </c>
      <c r="D121" s="176">
        <v>20000000000</v>
      </c>
      <c r="E121" s="184"/>
      <c r="F121" s="184"/>
      <c r="G121" s="184"/>
      <c r="H121" s="184"/>
      <c r="I121" s="184"/>
      <c r="J121" s="184"/>
      <c r="K121" s="176">
        <v>20000000000</v>
      </c>
      <c r="L121" s="176">
        <v>20000000000</v>
      </c>
      <c r="M121" s="185">
        <f t="shared" si="1"/>
        <v>1</v>
      </c>
    </row>
    <row r="122" spans="1:13" ht="63" x14ac:dyDescent="0.25">
      <c r="A122" s="183">
        <v>240106002</v>
      </c>
      <c r="B122" s="168">
        <v>10</v>
      </c>
      <c r="C122" s="169" t="s">
        <v>169</v>
      </c>
      <c r="D122" s="176">
        <v>5000000000</v>
      </c>
      <c r="E122" s="184"/>
      <c r="F122" s="184"/>
      <c r="G122" s="184"/>
      <c r="H122" s="184"/>
      <c r="I122" s="184"/>
      <c r="J122" s="184"/>
      <c r="K122" s="176">
        <v>5000000000</v>
      </c>
      <c r="L122" s="176">
        <v>5000000000</v>
      </c>
      <c r="M122" s="185">
        <f t="shared" si="1"/>
        <v>1</v>
      </c>
    </row>
    <row r="123" spans="1:13" ht="94.5" x14ac:dyDescent="0.25">
      <c r="A123" s="183">
        <v>240106003</v>
      </c>
      <c r="B123" s="168">
        <v>10</v>
      </c>
      <c r="C123" s="169" t="s">
        <v>228</v>
      </c>
      <c r="D123" s="176">
        <v>41578250803</v>
      </c>
      <c r="E123" s="184"/>
      <c r="F123" s="184"/>
      <c r="G123" s="184"/>
      <c r="H123" s="184"/>
      <c r="I123" s="184"/>
      <c r="J123" s="184"/>
      <c r="K123" s="176">
        <v>29238879050</v>
      </c>
      <c r="L123" s="176">
        <v>29238879050</v>
      </c>
      <c r="M123" s="185">
        <f t="shared" si="1"/>
        <v>1</v>
      </c>
    </row>
    <row r="124" spans="1:13" ht="94.5" x14ac:dyDescent="0.25">
      <c r="A124" s="191">
        <v>240106003</v>
      </c>
      <c r="B124" s="172">
        <v>13</v>
      </c>
      <c r="C124" s="173" t="s">
        <v>228</v>
      </c>
      <c r="D124" s="177">
        <v>11830398435</v>
      </c>
      <c r="E124" s="184"/>
      <c r="F124" s="184"/>
      <c r="G124" s="184"/>
      <c r="H124" s="184"/>
      <c r="I124" s="184"/>
      <c r="J124" s="184"/>
      <c r="K124" s="177">
        <v>11029789222</v>
      </c>
      <c r="L124" s="177">
        <v>11029789222</v>
      </c>
      <c r="M124" s="185">
        <f t="shared" si="1"/>
        <v>1</v>
      </c>
    </row>
    <row r="125" spans="1:13" ht="94.5" x14ac:dyDescent="0.25">
      <c r="A125" s="191">
        <v>240106003</v>
      </c>
      <c r="B125" s="172">
        <v>11</v>
      </c>
      <c r="C125" s="173" t="s">
        <v>228</v>
      </c>
      <c r="D125" s="176">
        <f>39565253575+8841501526</f>
        <v>48406755101</v>
      </c>
      <c r="E125" s="184"/>
      <c r="F125" s="184"/>
      <c r="G125" s="184"/>
      <c r="H125" s="184"/>
      <c r="I125" s="184"/>
      <c r="J125" s="184"/>
      <c r="K125" s="176">
        <v>35336322121</v>
      </c>
      <c r="L125" s="176">
        <v>35336322121</v>
      </c>
      <c r="M125" s="185">
        <f t="shared" si="1"/>
        <v>1</v>
      </c>
    </row>
    <row r="126" spans="1:13" ht="94.5" x14ac:dyDescent="0.25">
      <c r="A126" s="183">
        <v>240106003</v>
      </c>
      <c r="B126" s="168">
        <v>20</v>
      </c>
      <c r="C126" s="169" t="s">
        <v>228</v>
      </c>
      <c r="D126" s="176">
        <v>10494512551</v>
      </c>
      <c r="E126" s="184"/>
      <c r="F126" s="184"/>
      <c r="G126" s="184"/>
      <c r="H126" s="184"/>
      <c r="I126" s="184"/>
      <c r="J126" s="184"/>
      <c r="K126" s="176">
        <v>6294305852</v>
      </c>
      <c r="L126" s="176">
        <v>6294305852</v>
      </c>
      <c r="M126" s="185">
        <f t="shared" si="1"/>
        <v>1</v>
      </c>
    </row>
    <row r="127" spans="1:13" ht="47.25" x14ac:dyDescent="0.25">
      <c r="A127" s="183">
        <v>240106004</v>
      </c>
      <c r="B127" s="168">
        <v>10</v>
      </c>
      <c r="C127" s="169" t="s">
        <v>168</v>
      </c>
      <c r="D127" s="176">
        <v>3151400000</v>
      </c>
      <c r="E127" s="184"/>
      <c r="F127" s="184"/>
      <c r="G127" s="184"/>
      <c r="H127" s="184"/>
      <c r="I127" s="184"/>
      <c r="J127" s="184"/>
      <c r="K127" s="176">
        <v>3151394153</v>
      </c>
      <c r="L127" s="176">
        <v>3151394153</v>
      </c>
      <c r="M127" s="185">
        <f t="shared" si="1"/>
        <v>1</v>
      </c>
    </row>
    <row r="128" spans="1:13" ht="63" x14ac:dyDescent="0.25">
      <c r="A128" s="183">
        <v>240106005</v>
      </c>
      <c r="B128" s="168">
        <v>11</v>
      </c>
      <c r="C128" s="169" t="s">
        <v>176</v>
      </c>
      <c r="D128" s="176">
        <f>298582108895+44099730147</f>
        <v>342681839042</v>
      </c>
      <c r="E128" s="184"/>
      <c r="F128" s="184"/>
      <c r="G128" s="184"/>
      <c r="H128" s="184"/>
      <c r="I128" s="184"/>
      <c r="J128" s="184"/>
      <c r="K128" s="176">
        <f>298582108895+44099730147</f>
        <v>342681839042</v>
      </c>
      <c r="L128" s="176">
        <f>298582108895+44099730147</f>
        <v>342681839042</v>
      </c>
      <c r="M128" s="185">
        <f t="shared" si="1"/>
        <v>1</v>
      </c>
    </row>
    <row r="129" spans="1:13" ht="126" x14ac:dyDescent="0.25">
      <c r="A129" s="183">
        <v>240106006</v>
      </c>
      <c r="B129" s="168">
        <v>10</v>
      </c>
      <c r="C129" s="169" t="s">
        <v>229</v>
      </c>
      <c r="D129" s="176">
        <v>42360862449</v>
      </c>
      <c r="E129" s="184"/>
      <c r="F129" s="184"/>
      <c r="G129" s="184"/>
      <c r="H129" s="184"/>
      <c r="I129" s="184"/>
      <c r="J129" s="184"/>
      <c r="K129" s="176">
        <v>42360862449</v>
      </c>
      <c r="L129" s="176">
        <v>42360862449</v>
      </c>
      <c r="M129" s="185">
        <f t="shared" si="1"/>
        <v>1</v>
      </c>
    </row>
    <row r="130" spans="1:13" ht="126" x14ac:dyDescent="0.25">
      <c r="A130" s="183">
        <v>240106006</v>
      </c>
      <c r="B130" s="168">
        <v>13</v>
      </c>
      <c r="C130" s="169" t="s">
        <v>229</v>
      </c>
      <c r="D130" s="176">
        <v>19811865446</v>
      </c>
      <c r="E130" s="184"/>
      <c r="F130" s="184"/>
      <c r="G130" s="184"/>
      <c r="H130" s="184"/>
      <c r="I130" s="184"/>
      <c r="J130" s="184"/>
      <c r="K130" s="176">
        <v>19811865445.970001</v>
      </c>
      <c r="L130" s="176">
        <v>19811865445.970001</v>
      </c>
      <c r="M130" s="185">
        <f t="shared" si="1"/>
        <v>1</v>
      </c>
    </row>
    <row r="131" spans="1:13" ht="110.25" x14ac:dyDescent="0.25">
      <c r="A131" s="183">
        <v>240106007</v>
      </c>
      <c r="B131" s="168">
        <v>10</v>
      </c>
      <c r="C131" s="169" t="s">
        <v>230</v>
      </c>
      <c r="D131" s="176">
        <v>93138228211</v>
      </c>
      <c r="E131" s="184"/>
      <c r="F131" s="184"/>
      <c r="G131" s="184"/>
      <c r="H131" s="184"/>
      <c r="I131" s="184"/>
      <c r="J131" s="184"/>
      <c r="K131" s="176">
        <v>93138228211</v>
      </c>
      <c r="L131" s="176">
        <v>93138228211</v>
      </c>
      <c r="M131" s="185">
        <f t="shared" si="1"/>
        <v>1</v>
      </c>
    </row>
    <row r="132" spans="1:13" ht="110.25" x14ac:dyDescent="0.25">
      <c r="A132" s="183">
        <v>240106007</v>
      </c>
      <c r="B132" s="168">
        <v>13</v>
      </c>
      <c r="C132" s="169" t="s">
        <v>230</v>
      </c>
      <c r="D132" s="176">
        <v>70000000000</v>
      </c>
      <c r="E132" s="184"/>
      <c r="F132" s="184"/>
      <c r="G132" s="184"/>
      <c r="H132" s="184"/>
      <c r="I132" s="184"/>
      <c r="J132" s="184"/>
      <c r="K132" s="176">
        <v>70000000000</v>
      </c>
      <c r="L132" s="176">
        <v>70000000000</v>
      </c>
      <c r="M132" s="185">
        <f t="shared" si="1"/>
        <v>1</v>
      </c>
    </row>
    <row r="133" spans="1:13" ht="126" x14ac:dyDescent="0.25">
      <c r="A133" s="183">
        <v>240106008</v>
      </c>
      <c r="B133" s="168">
        <v>10</v>
      </c>
      <c r="C133" s="169" t="s">
        <v>231</v>
      </c>
      <c r="D133" s="176">
        <v>9828267369</v>
      </c>
      <c r="E133" s="184"/>
      <c r="F133" s="184"/>
      <c r="G133" s="184"/>
      <c r="H133" s="184"/>
      <c r="I133" s="184"/>
      <c r="J133" s="184"/>
      <c r="K133" s="176">
        <v>9828267369</v>
      </c>
      <c r="L133" s="176">
        <v>9828267369</v>
      </c>
      <c r="M133" s="185">
        <f t="shared" si="1"/>
        <v>1</v>
      </c>
    </row>
    <row r="134" spans="1:13" ht="157.5" x14ac:dyDescent="0.25">
      <c r="A134" s="183">
        <v>240106009</v>
      </c>
      <c r="B134" s="168">
        <v>10</v>
      </c>
      <c r="C134" s="169" t="s">
        <v>232</v>
      </c>
      <c r="D134" s="176">
        <v>53570864256</v>
      </c>
      <c r="E134" s="184"/>
      <c r="F134" s="184"/>
      <c r="G134" s="184"/>
      <c r="H134" s="184"/>
      <c r="I134" s="184"/>
      <c r="J134" s="184"/>
      <c r="K134" s="176">
        <v>53570864256</v>
      </c>
      <c r="L134" s="176">
        <v>53570864256</v>
      </c>
      <c r="M134" s="185">
        <f t="shared" si="1"/>
        <v>1</v>
      </c>
    </row>
    <row r="135" spans="1:13" ht="157.5" x14ac:dyDescent="0.25">
      <c r="A135" s="183">
        <v>240106009</v>
      </c>
      <c r="B135" s="168">
        <v>13</v>
      </c>
      <c r="C135" s="169" t="s">
        <v>232</v>
      </c>
      <c r="D135" s="176">
        <v>40000000000</v>
      </c>
      <c r="E135" s="184"/>
      <c r="F135" s="184"/>
      <c r="G135" s="184"/>
      <c r="H135" s="184"/>
      <c r="I135" s="184"/>
      <c r="J135" s="184"/>
      <c r="K135" s="176">
        <v>40000000000</v>
      </c>
      <c r="L135" s="176">
        <v>40000000000</v>
      </c>
      <c r="M135" s="185">
        <f t="shared" si="1"/>
        <v>1</v>
      </c>
    </row>
    <row r="136" spans="1:13" ht="157.5" x14ac:dyDescent="0.25">
      <c r="A136" s="183">
        <v>240106009</v>
      </c>
      <c r="B136" s="168">
        <v>11</v>
      </c>
      <c r="C136" s="169" t="s">
        <v>232</v>
      </c>
      <c r="D136" s="176">
        <v>5741762205</v>
      </c>
      <c r="E136" s="184"/>
      <c r="F136" s="184"/>
      <c r="G136" s="184"/>
      <c r="H136" s="184"/>
      <c r="I136" s="184"/>
      <c r="J136" s="184"/>
      <c r="K136" s="176">
        <v>5741762205</v>
      </c>
      <c r="L136" s="176">
        <v>5741762205</v>
      </c>
      <c r="M136" s="185">
        <f t="shared" si="1"/>
        <v>1</v>
      </c>
    </row>
    <row r="137" spans="1:13" ht="110.25" x14ac:dyDescent="0.25">
      <c r="A137" s="183">
        <v>2401060010</v>
      </c>
      <c r="B137" s="168">
        <v>10</v>
      </c>
      <c r="C137" s="169" t="s">
        <v>233</v>
      </c>
      <c r="D137" s="176">
        <v>19220149540</v>
      </c>
      <c r="E137" s="184"/>
      <c r="F137" s="184"/>
      <c r="G137" s="184"/>
      <c r="H137" s="184"/>
      <c r="I137" s="184"/>
      <c r="J137" s="184"/>
      <c r="K137" s="176">
        <v>19220149540</v>
      </c>
      <c r="L137" s="176">
        <v>19220149540</v>
      </c>
      <c r="M137" s="185">
        <f t="shared" si="1"/>
        <v>1</v>
      </c>
    </row>
    <row r="138" spans="1:13" ht="110.25" x14ac:dyDescent="0.25">
      <c r="A138" s="183">
        <v>2401060010</v>
      </c>
      <c r="B138" s="168">
        <v>13</v>
      </c>
      <c r="C138" s="169" t="s">
        <v>233</v>
      </c>
      <c r="D138" s="176">
        <v>20000000000</v>
      </c>
      <c r="E138" s="184"/>
      <c r="F138" s="184"/>
      <c r="G138" s="184"/>
      <c r="H138" s="184"/>
      <c r="I138" s="184"/>
      <c r="J138" s="184"/>
      <c r="K138" s="176">
        <v>20000000000</v>
      </c>
      <c r="L138" s="176">
        <v>20000000000</v>
      </c>
      <c r="M138" s="185">
        <f t="shared" si="1"/>
        <v>1</v>
      </c>
    </row>
    <row r="139" spans="1:13" ht="110.25" x14ac:dyDescent="0.25">
      <c r="A139" s="183">
        <v>2401060010</v>
      </c>
      <c r="B139" s="168">
        <v>11</v>
      </c>
      <c r="C139" s="169" t="s">
        <v>233</v>
      </c>
      <c r="D139" s="176">
        <v>1172988983</v>
      </c>
      <c r="E139" s="184"/>
      <c r="F139" s="184"/>
      <c r="G139" s="184"/>
      <c r="H139" s="184"/>
      <c r="I139" s="184"/>
      <c r="J139" s="184"/>
      <c r="K139" s="176">
        <v>1172988983</v>
      </c>
      <c r="L139" s="176">
        <v>1172988983</v>
      </c>
      <c r="M139" s="185">
        <f t="shared" si="1"/>
        <v>1</v>
      </c>
    </row>
    <row r="140" spans="1:13" ht="157.5" x14ac:dyDescent="0.25">
      <c r="A140" s="183">
        <v>2401060011</v>
      </c>
      <c r="B140" s="168">
        <v>10</v>
      </c>
      <c r="C140" s="169" t="s">
        <v>234</v>
      </c>
      <c r="D140" s="176">
        <v>7099398783</v>
      </c>
      <c r="E140" s="184"/>
      <c r="F140" s="184"/>
      <c r="G140" s="184"/>
      <c r="H140" s="184"/>
      <c r="I140" s="184"/>
      <c r="J140" s="184"/>
      <c r="K140" s="176">
        <v>7099398783</v>
      </c>
      <c r="L140" s="176">
        <v>7099398783</v>
      </c>
      <c r="M140" s="185">
        <f t="shared" ref="M140:M161" si="7">+L140/K140</f>
        <v>1</v>
      </c>
    </row>
    <row r="141" spans="1:13" ht="63" x14ac:dyDescent="0.25">
      <c r="A141" s="183">
        <v>2401060012</v>
      </c>
      <c r="B141" s="168">
        <v>11</v>
      </c>
      <c r="C141" s="169" t="s">
        <v>177</v>
      </c>
      <c r="D141" s="177">
        <v>389670483324</v>
      </c>
      <c r="E141" s="184"/>
      <c r="F141" s="184"/>
      <c r="G141" s="184"/>
      <c r="H141" s="184"/>
      <c r="I141" s="184"/>
      <c r="J141" s="184"/>
      <c r="K141" s="176">
        <v>389670463324</v>
      </c>
      <c r="L141" s="176">
        <v>389670463324</v>
      </c>
      <c r="M141" s="185">
        <f t="shared" si="7"/>
        <v>1</v>
      </c>
    </row>
    <row r="142" spans="1:13" ht="78.75" x14ac:dyDescent="0.25">
      <c r="A142" s="183">
        <v>2401060031</v>
      </c>
      <c r="B142" s="168">
        <v>10</v>
      </c>
      <c r="C142" s="169" t="s">
        <v>235</v>
      </c>
      <c r="D142" s="176">
        <v>0</v>
      </c>
      <c r="E142" s="184"/>
      <c r="F142" s="184"/>
      <c r="G142" s="184"/>
      <c r="H142" s="184"/>
      <c r="I142" s="184"/>
      <c r="J142" s="184"/>
      <c r="K142" s="176">
        <v>0</v>
      </c>
      <c r="L142" s="176">
        <v>0</v>
      </c>
      <c r="M142" s="185">
        <v>0</v>
      </c>
    </row>
    <row r="143" spans="1:13" ht="78.75" x14ac:dyDescent="0.25">
      <c r="A143" s="183">
        <v>240160031</v>
      </c>
      <c r="B143" s="168">
        <v>20</v>
      </c>
      <c r="C143" s="169" t="s">
        <v>235</v>
      </c>
      <c r="D143" s="177">
        <v>0</v>
      </c>
      <c r="E143" s="184"/>
      <c r="F143" s="184"/>
      <c r="G143" s="184"/>
      <c r="H143" s="184"/>
      <c r="I143" s="184"/>
      <c r="J143" s="184"/>
      <c r="K143" s="176">
        <v>0</v>
      </c>
      <c r="L143" s="176">
        <v>0</v>
      </c>
      <c r="M143" s="185">
        <v>0</v>
      </c>
    </row>
    <row r="144" spans="1:13" ht="31.5" x14ac:dyDescent="0.25">
      <c r="A144" s="183">
        <v>2404</v>
      </c>
      <c r="B144" s="168"/>
      <c r="C144" s="169" t="s">
        <v>236</v>
      </c>
      <c r="D144" s="176">
        <f>+D145</f>
        <v>123854526966</v>
      </c>
      <c r="E144" s="184"/>
      <c r="F144" s="184"/>
      <c r="G144" s="184"/>
      <c r="H144" s="184"/>
      <c r="I144" s="184"/>
      <c r="J144" s="184"/>
      <c r="K144" s="176">
        <f>+K145</f>
        <v>122697752397</v>
      </c>
      <c r="L144" s="176">
        <f>+L145</f>
        <v>122697752397</v>
      </c>
      <c r="M144" s="185">
        <f t="shared" si="7"/>
        <v>1</v>
      </c>
    </row>
    <row r="145" spans="1:13" ht="31.5" x14ac:dyDescent="0.25">
      <c r="A145" s="183">
        <v>24040600</v>
      </c>
      <c r="B145" s="168"/>
      <c r="C145" s="169" t="s">
        <v>103</v>
      </c>
      <c r="D145" s="176">
        <f>SUM(D146:D148)</f>
        <v>123854526966</v>
      </c>
      <c r="E145" s="184"/>
      <c r="F145" s="184"/>
      <c r="G145" s="184"/>
      <c r="H145" s="184"/>
      <c r="I145" s="184"/>
      <c r="J145" s="184"/>
      <c r="K145" s="176">
        <f>SUM(K146:K148)</f>
        <v>122697752397</v>
      </c>
      <c r="L145" s="176">
        <f>SUM(L146:L148)</f>
        <v>122697752397</v>
      </c>
      <c r="M145" s="185">
        <f t="shared" si="7"/>
        <v>1</v>
      </c>
    </row>
    <row r="146" spans="1:13" ht="63" x14ac:dyDescent="0.25">
      <c r="A146" s="183">
        <v>240406001</v>
      </c>
      <c r="B146" s="168">
        <v>10</v>
      </c>
      <c r="C146" s="169" t="s">
        <v>106</v>
      </c>
      <c r="D146" s="176">
        <v>25752084287</v>
      </c>
      <c r="E146" s="184"/>
      <c r="F146" s="184"/>
      <c r="G146" s="184"/>
      <c r="H146" s="184"/>
      <c r="I146" s="184"/>
      <c r="J146" s="184"/>
      <c r="K146" s="176">
        <v>25506945601</v>
      </c>
      <c r="L146" s="176">
        <v>25506945601</v>
      </c>
      <c r="M146" s="185">
        <f t="shared" si="7"/>
        <v>1</v>
      </c>
    </row>
    <row r="147" spans="1:13" ht="63" x14ac:dyDescent="0.25">
      <c r="A147" s="183">
        <v>240406001</v>
      </c>
      <c r="B147" s="168">
        <v>13</v>
      </c>
      <c r="C147" s="169" t="s">
        <v>106</v>
      </c>
      <c r="D147" s="176">
        <v>30000000000</v>
      </c>
      <c r="E147" s="184"/>
      <c r="F147" s="184"/>
      <c r="G147" s="184"/>
      <c r="H147" s="184"/>
      <c r="I147" s="184"/>
      <c r="J147" s="184"/>
      <c r="K147" s="176">
        <v>29841400432</v>
      </c>
      <c r="L147" s="176">
        <v>29841400432</v>
      </c>
      <c r="M147" s="185">
        <f t="shared" si="7"/>
        <v>1</v>
      </c>
    </row>
    <row r="148" spans="1:13" ht="63" x14ac:dyDescent="0.25">
      <c r="A148" s="183">
        <v>240406001</v>
      </c>
      <c r="B148" s="168">
        <v>20</v>
      </c>
      <c r="C148" s="169" t="s">
        <v>106</v>
      </c>
      <c r="D148" s="176">
        <v>68102442679</v>
      </c>
      <c r="E148" s="184"/>
      <c r="F148" s="184"/>
      <c r="G148" s="184"/>
      <c r="H148" s="184"/>
      <c r="I148" s="184"/>
      <c r="J148" s="184"/>
      <c r="K148" s="176">
        <v>67349406364</v>
      </c>
      <c r="L148" s="176">
        <v>67349406364</v>
      </c>
      <c r="M148" s="185">
        <f t="shared" si="7"/>
        <v>1</v>
      </c>
    </row>
    <row r="149" spans="1:13" ht="31.5" x14ac:dyDescent="0.25">
      <c r="A149" s="183">
        <v>2405</v>
      </c>
      <c r="B149" s="168"/>
      <c r="C149" s="169" t="s">
        <v>237</v>
      </c>
      <c r="D149" s="176">
        <f>+D150</f>
        <v>2464224817</v>
      </c>
      <c r="E149" s="184"/>
      <c r="F149" s="184"/>
      <c r="G149" s="184"/>
      <c r="H149" s="184"/>
      <c r="I149" s="184"/>
      <c r="J149" s="184"/>
      <c r="K149" s="176">
        <f>+K150</f>
        <v>2464224817</v>
      </c>
      <c r="L149" s="176">
        <f>+L150</f>
        <v>2464224817</v>
      </c>
      <c r="M149" s="185">
        <f t="shared" si="7"/>
        <v>1</v>
      </c>
    </row>
    <row r="150" spans="1:13" ht="31.5" x14ac:dyDescent="0.25">
      <c r="A150" s="183">
        <v>24050600</v>
      </c>
      <c r="B150" s="168"/>
      <c r="C150" s="169" t="s">
        <v>103</v>
      </c>
      <c r="D150" s="176">
        <f>+D151</f>
        <v>2464224817</v>
      </c>
      <c r="E150" s="184"/>
      <c r="F150" s="184"/>
      <c r="G150" s="184"/>
      <c r="H150" s="184"/>
      <c r="I150" s="184"/>
      <c r="J150" s="184"/>
      <c r="K150" s="176">
        <f>+K151</f>
        <v>2464224817</v>
      </c>
      <c r="L150" s="176">
        <f>+L151</f>
        <v>2464224817</v>
      </c>
      <c r="M150" s="185">
        <f t="shared" si="7"/>
        <v>1</v>
      </c>
    </row>
    <row r="151" spans="1:13" ht="47.25" x14ac:dyDescent="0.25">
      <c r="A151" s="183">
        <v>240506001</v>
      </c>
      <c r="B151" s="168">
        <v>20</v>
      </c>
      <c r="C151" s="169" t="s">
        <v>238</v>
      </c>
      <c r="D151" s="176">
        <v>2464224817</v>
      </c>
      <c r="E151" s="184"/>
      <c r="F151" s="184"/>
      <c r="G151" s="184"/>
      <c r="H151" s="184"/>
      <c r="I151" s="184"/>
      <c r="J151" s="184"/>
      <c r="K151" s="176">
        <v>2464224817</v>
      </c>
      <c r="L151" s="176">
        <v>2464224817</v>
      </c>
      <c r="M151" s="185">
        <f t="shared" si="7"/>
        <v>1</v>
      </c>
    </row>
    <row r="152" spans="1:13" ht="47.25" x14ac:dyDescent="0.25">
      <c r="A152" s="183">
        <v>2499</v>
      </c>
      <c r="B152" s="168"/>
      <c r="C152" s="169" t="s">
        <v>239</v>
      </c>
      <c r="D152" s="176">
        <f>+D153</f>
        <v>52393745324</v>
      </c>
      <c r="E152" s="184"/>
      <c r="F152" s="184"/>
      <c r="G152" s="184"/>
      <c r="H152" s="184"/>
      <c r="I152" s="184"/>
      <c r="J152" s="184"/>
      <c r="K152" s="176">
        <f>+K153</f>
        <v>47732597634.860001</v>
      </c>
      <c r="L152" s="176">
        <f>+L153</f>
        <v>47732597634.860001</v>
      </c>
      <c r="M152" s="185">
        <f t="shared" si="7"/>
        <v>1</v>
      </c>
    </row>
    <row r="153" spans="1:13" ht="31.5" x14ac:dyDescent="0.25">
      <c r="A153" s="183">
        <v>24990600</v>
      </c>
      <c r="B153" s="168"/>
      <c r="C153" s="169" t="s">
        <v>103</v>
      </c>
      <c r="D153" s="176">
        <f>SUM(D154:D160)</f>
        <v>52393745324</v>
      </c>
      <c r="E153" s="184"/>
      <c r="F153" s="184"/>
      <c r="G153" s="184"/>
      <c r="H153" s="184"/>
      <c r="I153" s="184"/>
      <c r="J153" s="184"/>
      <c r="K153" s="176">
        <f>SUM(K154:K160)</f>
        <v>47732597634.860001</v>
      </c>
      <c r="L153" s="176">
        <f>SUM(L154:L160)</f>
        <v>47732597634.860001</v>
      </c>
      <c r="M153" s="185">
        <f t="shared" si="7"/>
        <v>1</v>
      </c>
    </row>
    <row r="154" spans="1:13" ht="78.75" x14ac:dyDescent="0.25">
      <c r="A154" s="183">
        <v>249906001</v>
      </c>
      <c r="B154" s="168">
        <v>10</v>
      </c>
      <c r="C154" s="169" t="s">
        <v>183</v>
      </c>
      <c r="D154" s="176">
        <v>3796516572</v>
      </c>
      <c r="E154" s="184"/>
      <c r="F154" s="184"/>
      <c r="G154" s="184"/>
      <c r="H154" s="184"/>
      <c r="I154" s="184"/>
      <c r="J154" s="184"/>
      <c r="K154" s="176">
        <v>3604905298</v>
      </c>
      <c r="L154" s="176">
        <v>3604905298</v>
      </c>
      <c r="M154" s="185">
        <f t="shared" si="7"/>
        <v>1</v>
      </c>
    </row>
    <row r="155" spans="1:13" ht="78.75" x14ac:dyDescent="0.25">
      <c r="A155" s="183">
        <v>249906001</v>
      </c>
      <c r="B155" s="168">
        <v>13</v>
      </c>
      <c r="C155" s="169" t="s">
        <v>183</v>
      </c>
      <c r="D155" s="176">
        <v>5000000000</v>
      </c>
      <c r="E155" s="184"/>
      <c r="F155" s="184"/>
      <c r="G155" s="184"/>
      <c r="H155" s="184"/>
      <c r="I155" s="184"/>
      <c r="J155" s="184"/>
      <c r="K155" s="176">
        <v>1264851372</v>
      </c>
      <c r="L155" s="176">
        <v>1264851372</v>
      </c>
      <c r="M155" s="185">
        <f t="shared" si="7"/>
        <v>1</v>
      </c>
    </row>
    <row r="156" spans="1:13" ht="78.75" x14ac:dyDescent="0.25">
      <c r="A156" s="183">
        <v>249906001</v>
      </c>
      <c r="B156" s="168">
        <v>20</v>
      </c>
      <c r="C156" s="169" t="s">
        <v>183</v>
      </c>
      <c r="D156" s="176">
        <v>15789524800</v>
      </c>
      <c r="E156" s="184"/>
      <c r="F156" s="184"/>
      <c r="G156" s="184"/>
      <c r="H156" s="184"/>
      <c r="I156" s="184"/>
      <c r="J156" s="184"/>
      <c r="K156" s="176">
        <v>15390457288</v>
      </c>
      <c r="L156" s="176">
        <v>15390457288</v>
      </c>
      <c r="M156" s="185">
        <f t="shared" si="7"/>
        <v>1</v>
      </c>
    </row>
    <row r="157" spans="1:13" ht="78.75" x14ac:dyDescent="0.25">
      <c r="A157" s="183">
        <v>249906002</v>
      </c>
      <c r="B157" s="168">
        <v>20</v>
      </c>
      <c r="C157" s="169" t="s">
        <v>184</v>
      </c>
      <c r="D157" s="176">
        <v>58000000</v>
      </c>
      <c r="E157" s="184"/>
      <c r="F157" s="184"/>
      <c r="G157" s="184"/>
      <c r="H157" s="184"/>
      <c r="I157" s="184"/>
      <c r="J157" s="184"/>
      <c r="K157" s="176">
        <v>44295903</v>
      </c>
      <c r="L157" s="176">
        <v>44295903</v>
      </c>
      <c r="M157" s="185">
        <f t="shared" si="7"/>
        <v>1</v>
      </c>
    </row>
    <row r="158" spans="1:13" ht="78.75" x14ac:dyDescent="0.25">
      <c r="A158" s="183">
        <v>249906002</v>
      </c>
      <c r="B158" s="168">
        <v>21</v>
      </c>
      <c r="C158" s="169" t="s">
        <v>184</v>
      </c>
      <c r="D158" s="176">
        <v>192000000</v>
      </c>
      <c r="E158" s="184"/>
      <c r="F158" s="184"/>
      <c r="G158" s="184"/>
      <c r="H158" s="184"/>
      <c r="I158" s="184"/>
      <c r="J158" s="184"/>
      <c r="K158" s="176">
        <v>90953000</v>
      </c>
      <c r="L158" s="176">
        <v>90953000</v>
      </c>
      <c r="M158" s="185">
        <f t="shared" si="7"/>
        <v>1</v>
      </c>
    </row>
    <row r="159" spans="1:13" ht="110.25" x14ac:dyDescent="0.25">
      <c r="A159" s="183">
        <v>249906003</v>
      </c>
      <c r="B159" s="168">
        <v>20</v>
      </c>
      <c r="C159" s="169" t="s">
        <v>182</v>
      </c>
      <c r="D159" s="176">
        <v>4000000000</v>
      </c>
      <c r="E159" s="184"/>
      <c r="F159" s="184"/>
      <c r="G159" s="184"/>
      <c r="H159" s="184"/>
      <c r="I159" s="184"/>
      <c r="J159" s="184"/>
      <c r="K159" s="176">
        <v>3860586703.3000002</v>
      </c>
      <c r="L159" s="176">
        <v>3860586703.3000002</v>
      </c>
      <c r="M159" s="185">
        <f t="shared" si="7"/>
        <v>1</v>
      </c>
    </row>
    <row r="160" spans="1:13" ht="63.75" thickBot="1" x14ac:dyDescent="0.3">
      <c r="A160" s="195">
        <v>249906004</v>
      </c>
      <c r="B160" s="170">
        <v>20</v>
      </c>
      <c r="C160" s="171" t="s">
        <v>240</v>
      </c>
      <c r="D160" s="180">
        <v>23557703952</v>
      </c>
      <c r="E160" s="196"/>
      <c r="F160" s="196"/>
      <c r="G160" s="196"/>
      <c r="H160" s="196"/>
      <c r="I160" s="196"/>
      <c r="J160" s="196"/>
      <c r="K160" s="180">
        <v>23476548070.560001</v>
      </c>
      <c r="L160" s="180">
        <v>23476548070.560001</v>
      </c>
      <c r="M160" s="197">
        <f t="shared" si="7"/>
        <v>1</v>
      </c>
    </row>
    <row r="161" spans="1:13" ht="16.5" thickBot="1" x14ac:dyDescent="0.3">
      <c r="A161" s="268" t="s">
        <v>108</v>
      </c>
      <c r="B161" s="269"/>
      <c r="C161" s="270"/>
      <c r="D161" s="181">
        <f>+D117+D113+D11</f>
        <v>2465782424492</v>
      </c>
      <c r="E161" s="182"/>
      <c r="F161" s="182"/>
      <c r="G161" s="182"/>
      <c r="H161" s="182"/>
      <c r="I161" s="182"/>
      <c r="J161" s="182"/>
      <c r="K161" s="181">
        <f t="shared" ref="K161:L161" si="8">+K117+K113+K11</f>
        <v>2429390457916.4004</v>
      </c>
      <c r="L161" s="181">
        <f t="shared" si="8"/>
        <v>2429390457916.4004</v>
      </c>
      <c r="M161" s="94">
        <f t="shared" si="7"/>
        <v>1</v>
      </c>
    </row>
  </sheetData>
  <mergeCells count="9">
    <mergeCell ref="L8:L9"/>
    <mergeCell ref="M8:M9"/>
    <mergeCell ref="A161:C161"/>
    <mergeCell ref="A8:A10"/>
    <mergeCell ref="B8:B10"/>
    <mergeCell ref="C8:C10"/>
    <mergeCell ref="D8:D9"/>
    <mergeCell ref="E8:J8"/>
    <mergeCell ref="K8:K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EC517CD-8A8C-46BF-A3A0-D1A6E9EBC5F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VIGENCIA 2010</vt:lpstr>
      <vt:lpstr>VIGENCIA 2011</vt:lpstr>
      <vt:lpstr>VIGENCIA 2012</vt:lpstr>
      <vt:lpstr>VIGENCIA 2013</vt:lpstr>
      <vt:lpstr>VIGENCIA 2014</vt:lpstr>
      <vt:lpstr>VIGENCIA 2015 </vt:lpstr>
      <vt:lpstr>VIGENCIA 2016</vt:lpstr>
      <vt:lpstr>VIGENCIA 2017</vt:lpstr>
      <vt:lpstr>'VIGENCIA 2011'!Área_de_impresión</vt:lpstr>
      <vt:lpstr>'VIGENCIA 2012'!Área_de_impresión</vt:lpstr>
      <vt:lpstr>'VIGENCIA 2013'!Área_de_impresión</vt:lpstr>
      <vt:lpstr>'VIGENCIA 2014'!Área_de_impresión</vt:lpstr>
      <vt:lpstr>'VIGENCIA 2015 '!Área_de_impresión</vt:lpstr>
      <vt:lpstr>'VIGENCIA 2011'!Títulos_a_imprimir</vt:lpstr>
      <vt:lpstr>'VIGENCIA 2012'!Títulos_a_imprimir</vt:lpstr>
      <vt:lpstr>'VIGENCIA 2013'!Títulos_a_imprimir</vt:lpstr>
      <vt:lpstr>'VIGENCIA 2014'!Títulos_a_imprimir</vt:lpstr>
      <vt:lpstr>'VIGENCIA 2015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Liliana Lievano Torres</dc:creator>
  <cp:lastModifiedBy>Ricardo Aguilera Wilches</cp:lastModifiedBy>
  <cp:lastPrinted>2016-03-19T01:24:18Z</cp:lastPrinted>
  <dcterms:created xsi:type="dcterms:W3CDTF">2016-03-15T22:20:03Z</dcterms:created>
  <dcterms:modified xsi:type="dcterms:W3CDTF">2018-08-08T19:43:42Z</dcterms:modified>
</cp:coreProperties>
</file>